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20" tabRatio="779" firstSheet="1" activeTab="1"/>
  </bookViews>
  <sheets>
    <sheet name="INTERIOR DATA (2)" sheetId="1" state="hidden" r:id="rId1"/>
    <sheet name="BOQ" sheetId="2" r:id="rId2"/>
  </sheets>
  <definedNames>
    <definedName name="_xlnm.Print_Area" localSheetId="0">'INTERIOR DATA (2)'!$A$1:$K$1160</definedName>
    <definedName name="_xlnm.Print_Titles" localSheetId="1">'BOQ'!$6:$6</definedName>
    <definedName name="_xlnm.Print_Titles" localSheetId="0">'INTERIOR DATA (2)'!$136:$136</definedName>
  </definedNames>
  <calcPr fullCalcOnLoad="1"/>
</workbook>
</file>

<file path=xl/sharedStrings.xml><?xml version="1.0" encoding="utf-8"?>
<sst xmlns="http://schemas.openxmlformats.org/spreadsheetml/2006/main" count="1359" uniqueCount="453">
  <si>
    <t>TOTAL</t>
  </si>
  <si>
    <t>Each.</t>
  </si>
  <si>
    <t>STORAGE UNITS:</t>
  </si>
  <si>
    <t>FULL HEIGHT PARTITIONS:</t>
  </si>
  <si>
    <t>Amount.</t>
  </si>
  <si>
    <t>Nos.</t>
  </si>
  <si>
    <t>VERTICAL FACES IN FALSE CEILING:</t>
  </si>
  <si>
    <t>Sq.M.</t>
  </si>
  <si>
    <t>I.</t>
  </si>
  <si>
    <t>INTERIOR WORKS:</t>
  </si>
  <si>
    <t>WALL PANELLING:</t>
  </si>
  <si>
    <t>FALSE CEILING:</t>
  </si>
  <si>
    <t>PLAIN FALSE CEILING:</t>
  </si>
  <si>
    <t>FIXED FURNITURE:</t>
  </si>
  <si>
    <t>Total.</t>
  </si>
  <si>
    <t>S.No.</t>
  </si>
  <si>
    <t>Item. / Particulars.</t>
  </si>
  <si>
    <t>Rate.</t>
  </si>
  <si>
    <t>Unit.</t>
  </si>
  <si>
    <t>LOOSE FURNITURE:</t>
  </si>
  <si>
    <t>Providing and fixing metal stud dry wall partition with following specifications:</t>
  </si>
  <si>
    <t>Quan-tity.</t>
  </si>
  <si>
    <t>GRID FALSE CEILING:</t>
  </si>
  <si>
    <t>Providing, making and fixing in position the following types of different false ceilings with different materials as specified below for a finished item of work as per drawings and directions etc., complete.</t>
  </si>
  <si>
    <t>ROLLER BLINDS:</t>
  </si>
  <si>
    <t>GRAHAK MITRA / RECEPTION TABLE:</t>
  </si>
  <si>
    <t>SINGLE WINDOW COUNTERS:</t>
  </si>
  <si>
    <t>Same as item 1.1 above, but for height of 1100mm from finished floor level, to a neat finish as per drawings and directions etc., complete and the following:</t>
  </si>
  <si>
    <t>Providing and fixing in position of Roller Blinds of approved Fabric (Fabric Cost - RS. 1,000/- per Meter) of Hunter Douglas / Mac / Vista make or approved equivalent of approved shade etc., as directed.</t>
  </si>
  <si>
    <t>PLASTIC EMULSION PAINTING:</t>
  </si>
  <si>
    <t>WALL PANELLING: (LAMINATE FINISH)</t>
  </si>
  <si>
    <t>STORAGE UNITS: (LAMINATE FINISH)</t>
  </si>
  <si>
    <t>ACP CLADDING:</t>
  </si>
  <si>
    <t>ACRYLIC LOGO:</t>
  </si>
  <si>
    <t>FULL HEIGHT PARTITIONS - BOTH SIDES LAMINATE:</t>
  </si>
  <si>
    <t>Supplying and fixing aluminium composite cladding with skin material 0.5 mm thick aluminium sheet cover material natural polyethylene aluminium cladding panel fixed with extruded aluminium basis frame  (50x25x1.5mm) angle cleats, weather sealants, rivets, GI brackets all as approved, using suitable bolts on structural steel work including necessary accessories complete in all respects including all labour charges etc., complete for finished item of work but excluding cost of structural steel fabrication, scaffolding charges, if any, ACP Cladding - 4 mm thick.</t>
  </si>
  <si>
    <t>Providing SBI Logo 1500mm diameter made with 6mm Inky Blue color acrylic sheet with provision for back lighting as per drawings and directions etc., complete.</t>
  </si>
  <si>
    <t>(e)  One readymade CPU mobile pedestal.</t>
  </si>
  <si>
    <t>(a)  Supporting system comprising of  51mm / 50mm x 35mm / 34mm x 0.5mm metal studs at 600mm c/c and 51mm / 50mm x 32mm x 0.5mm metal tracks at floor, middle, door and ceiling level with joints staggered to avoid through joints.  The vertical members should touch the ceiling with horizontal ceiling channel at slab / beam bottom.  The rate should also include necessary strengthening with studs / tracks or channels at doors and other openings.</t>
  </si>
  <si>
    <t>(d)  Partition to have 8mm clear float glass fixed with 85mm x 15mm alround jamb and 12mm x 12mm button beading on both sides of the glass, to a neat finish as per drawings and directions etc., complete.</t>
  </si>
  <si>
    <t>(e) Partition above 2350mm level to have NO VOC or LOW VOC plastic emulsion paint  finish on both sides as shown in drawing.</t>
  </si>
  <si>
    <t>(f)  All beech wood members to have minimum two coats of LOW VOC or NO VOC duco paint finish.</t>
  </si>
  <si>
    <t>(g)  All sections used should adhere to the manufacturers guidelines and the contractor has to submit certificate from the manufacturer on usage of their specified sections.</t>
  </si>
  <si>
    <t>(b)  The " L " shaped table top on the back side to have 50mm edge alround and to be cladded with 6mm acrylic solid surface.</t>
  </si>
  <si>
    <t>(f)  One Molded Key Board Tray with channels etc.,</t>
  </si>
  <si>
    <t>The cost to include all materials, labour etc., for a finished item of work as per drawings and directions etc., complete.</t>
  </si>
  <si>
    <t xml:space="preserve">HALF HEIGHT PARTITIONS: </t>
  </si>
  <si>
    <t>(c)  The cost to include all materials and hardware required  etc., as per site conditions. The rate is for a finished item of work etc., complete as directed.</t>
  </si>
  <si>
    <t>FIXED GLASS WORKS:  (12MM TOUGHENED GLASS WORK WITH MAIN ENTRANCE DOOR AND GLASS PARTITION DOORS)</t>
  </si>
  <si>
    <t>(b)  The work includes cost of all materials, approved hardware, making necessary template before toughening of glass and fixing the same as per site conditions to a neat finished work as per drawings and directions etc., complete.</t>
  </si>
  <si>
    <t>12MM TOUGHENED GLASS MAIN ENTRANCE DOOR AND PARTITION DOORS:</t>
  </si>
  <si>
    <t>Same as item 1.1 above, but for Wall Panelling.  The basic frame work to comprise all cladding specified only from one side to a neat job as per drawings and directions etc., complete.</t>
  </si>
  <si>
    <t>SCHEDULE OF QUANTITIES AND DETAILED SPECIFICATIONS.</t>
  </si>
  <si>
    <t>(a)  Providing 15mm thick jamb for door and window openings of suitable depth as per site conditions.</t>
  </si>
  <si>
    <t>(b) All beech wood members to have NO VOC or LOW VOC duco paint finish.</t>
  </si>
  <si>
    <t xml:space="preserve">Same as item 1.9.2 above but for vertical faces in false ceiling as per drawing including cut outs for AC grilles etc., complete as directed.  </t>
  </si>
  <si>
    <t xml:space="preserve">Providing &amp; Fixing of Mineral Fibre Acoustical Suspended Ceiling System with 15mm Tiles and Exposed GRID.  The tiles should have Humidity Resistance (RH) of 90% - 99%, NRC 0.5, Light Reflectance ≥87%, Thermal Conductivity k = 0.052 - 0.057 w/m K, Colour White, Fire Performance UK Class 0 / Class 1 (BS 476 pt - 6 &amp;7) in module size of 600 x 600 x 16mm , suitable for Green Building application, with Recycled content of 30% - 45% . </t>
  </si>
  <si>
    <t xml:space="preserve">The Instalation to comprise main runner spaced at 1200mm centres securely fixed to the structural soffit using US Boral / Gyproc / Armstrong suspension system (specifications below) at 1200mm maximum centre.  The First/Last suspension system at the end of each main runner should not be greater than 450mm from the adjacent wall.  </t>
  </si>
  <si>
    <t>Flush fitting 1200mm long cross tees to be interlocked between main runners at 600mm centre to form 1200 x 600 mm module.  Cut cross tees longer than 600mm require independent support.  600 x 600mm module to be formed by fitting 600mm long flush fitting cross tees centrally between the 1200 mm cross tees.  Perimeter trim to be Wall angles of size 3000mm x 19mm x 19mm, secured to walls at 450 mm maximum centres.</t>
  </si>
  <si>
    <t xml:space="preserve">The tile shall be laid on Microline / Silhouette profile grid system with 15mm - 16mm white flanges incorporating a 6mm central reveal in white/black colour and with a web height of 38mm and a load carrying capacity of minimum 8 Kgs/M2 &amp; minimum pull out strength of 100 Kgs.  Microline / Silhouette, Main Runners &amp; Cross Tees to have mitred ends &amp; “birdsmouth” notches to provide mitred cruciform junctions. The T Sections have a Galvanizing of 90 grams per M2 and need to be installed with Suspension system as per manufacturers details. </t>
  </si>
  <si>
    <t xml:space="preserve">Providing and fixing Concealed Grid suspended ceiling system of 12.5mm Gypsum Boards / Standard Plaster Boards fixed to ceiling Frame Work as per manufacturers instructions and details for a concealed grid key lock suspended ceiling system consisting of following:  </t>
  </si>
  <si>
    <t>(b)  All sections used should adhere to the manufacturers guidelines and the contractor has to submit certificate from the manufacturer on usage of their specified sections.</t>
  </si>
  <si>
    <t>(c)  Further the rates to include cutouts for lighting fixtures / AC grilles / Fire Alarm Detectors etc., along with necessary strengthening and supports for fixing of these. The board joints are to be flush finished with jointing compound and paper tape etc., complete as directed.</t>
  </si>
  <si>
    <t>Providing and fixing in position 8mm toughened lacquered glass (colour - Black or blue) for glass partition. The work to include making necessary template for all the glasses and then cutting the glass to correct size, making all the necessary holes, cuts etc., and then toughining the same.  The cost to include all hardware required viz., single corner patch, bracket etc.,  The approximate size of each glass will be 1950mm x 450mm to 1200mm as per site conditions.  The rate is for a finished item of work etc., complete as directed.</t>
  </si>
  <si>
    <t>BRANCH HEAD TABLE:</t>
  </si>
  <si>
    <t>(j)  Ready Made Modular Foot Rest - 400mm x 350mm x 65mm.</t>
  </si>
  <si>
    <t>(i) All the unexposed faces to have minimum two coats of NO VOC or LOW VOC enamel paint with putty finish.</t>
  </si>
  <si>
    <t>Providing, making and placing in position Executive Table and Side Table of approximate size 2100mm x 900mm x 750mm + 1050mm x 450mm x 750mm with following specifications.</t>
  </si>
  <si>
    <t>OFFICER's AND SIDE EXECUTIVE TABLES:</t>
  </si>
  <si>
    <t>Providing, making and placing in position Executive Table and Side Table of approximate size 1650mm  - 1550mm x 750mm x 750mm + 1050mm x 450mm x 750mm with following specifications.</t>
  </si>
  <si>
    <t>Providing, making and placing in position Grahak Mitra Table of approximate size 1500mm x 800mm - 900mm x 750mm with following specifications.</t>
  </si>
  <si>
    <t>(a)  The overall size of each Single Window Counter to be 1650mm - 1500mm x 900mm - 975mm x 750mm + 1050mm x 450mm x 750mm.</t>
  </si>
  <si>
    <t>(k)  All wooden members to have minimum two coats of NO VOC or LOW VOC duco paint finish.</t>
  </si>
  <si>
    <t>12MM TOUGHENED GLASS DIVIDERS FOR SINGLE WINDOW COUNTERS:</t>
  </si>
  <si>
    <t>Providing, making and fixing in position 12mm thick toughened clear float glass in the front side of half height partitions of Single Window Counters of approximate size 1150mm x 400mm - 100mm in tapered shape.  All the edges of the glass to be polished for a smooth finish and the glass is to be fixed with " D " brackets.  The cost to include all materials, labour, hardware etc., for a neat finished job as per drawings and diretions etc., complete.</t>
  </si>
  <si>
    <t>1.6.1</t>
  </si>
  <si>
    <t>WALL PANELLING IN BANKING HALL:</t>
  </si>
  <si>
    <t>1.6.2</t>
  </si>
  <si>
    <t>WALL PANELLING WITH SPECIAL HIGH GLOSS LAMINATE FOR E-LOBBY:</t>
  </si>
  <si>
    <t>COLUMN PANELLING:</t>
  </si>
  <si>
    <t>Providing and fixing metal stud column panelling with following specifications:</t>
  </si>
  <si>
    <t>(c) Column Panelling from floor level upto 2350mm level to have 100mm bottomline expression skirting (aqua blue color) at bottom + from 100mm to 2350mm level to have 1mm High Gloss Laminate on two longer sides of the column as shown in drawing.</t>
  </si>
  <si>
    <t>(d)  Column Panelling to have 6mm toughened lacqured glass in aqua blue color fixed with 12mm x 12mm button beading on two shorter sides of the column, to a neat finish as per drawings and directions etc., complete.</t>
  </si>
  <si>
    <t>(e) Column Panelling above 2350mm level to have NO VOC or LOW VOC plastic emulsion paint  finish on all four sides as shown in drawing.</t>
  </si>
  <si>
    <t>LACQURED GLASS WORK FOR E-LOBBY:</t>
  </si>
  <si>
    <t>FLOOR MOUNTED WRITING DESK:</t>
  </si>
  <si>
    <t>Providing, making and placing in position Wall Mounted Circular Writing Desk 900mm dia x 750mm with following specifications.</t>
  </si>
  <si>
    <t>(b)  The Writing Desk Circular Top to have 12mm dia toughened clear float glass with 25mm champered bull nosing alround.</t>
  </si>
  <si>
    <t>(e) All the unexposed faces to have minimum two coats of NO VOC or LOW VOC enamel paint with putty finish.</t>
  </si>
  <si>
    <t>(a)  Entrance door - Providing, fixing in position glazed entrance Double door and Single door with patch fitting or approved make (Double Door approx. Size: 1800mm - 1500mm x 2400mm - 2250mm and Single Door approx. Size: 900mm - 12mm x 2400mm - 2250mm) using 12mm / 10mm toughened glass edge polished. The Door to consist of Heavy Duty Floor spring, Upper Patch, Bottom Patch, Lock Keeper Plate, Euro Profile Cylinder (EPC), "H" Type Handle 32 x 600mm, Corner Lock and the side fixed glass to have 2 Nos. Bottom Patch and 2 Nos. Upper Patch for each door to a neat finish etc., complete as per drawing.</t>
  </si>
  <si>
    <t>Cleaning the surface of the wall &amp; then applying one coat of altex putty followed by one coat of primer &amp; then applying second coat of putty to give smooth finish exactly in line and level &amp; then finally applying a minimum of two coats of NO VOC or LOW VOC Plastic Emulsion Paint of approved shade to give a neat finish including cost of all materials necessary scaffolding etc., complete for walls &amp; ceiling.</t>
  </si>
  <si>
    <t>INTERIOR RATE ANALYSIS</t>
  </si>
  <si>
    <t>S. No.</t>
  </si>
  <si>
    <t>Description of Item.</t>
  </si>
  <si>
    <t>QT</t>
  </si>
  <si>
    <t>LABOUR CHARGES:</t>
  </si>
  <si>
    <t>Add Towards Overhead and Profit</t>
  </si>
  <si>
    <t>18mm thk HDF board</t>
  </si>
  <si>
    <t>Sqm</t>
  </si>
  <si>
    <t>12mm thk HDF board</t>
  </si>
  <si>
    <t>6mm thk flexiply</t>
  </si>
  <si>
    <t>25mm thk block board</t>
  </si>
  <si>
    <t>50mm thk flush door</t>
  </si>
  <si>
    <t>1mm thk laminate</t>
  </si>
  <si>
    <t>1mm thk high gloss laminate</t>
  </si>
  <si>
    <t>1mm thk high gloss egde laminate</t>
  </si>
  <si>
    <t>1mm thk high Texture laminate</t>
  </si>
  <si>
    <t>4mm thk veneer</t>
  </si>
  <si>
    <t>Aluminium Skirting</t>
  </si>
  <si>
    <t>Rmt</t>
  </si>
  <si>
    <t>6mm thk acrylic solid surface - plain white</t>
  </si>
  <si>
    <t>6mm thk acrylic solid surface - plain blue</t>
  </si>
  <si>
    <t>8mm thk clear float glass</t>
  </si>
  <si>
    <t>12mm thk clear float glass</t>
  </si>
  <si>
    <t>6mm thk Lacquered glass</t>
  </si>
  <si>
    <t>8mm thk Lacquered glass</t>
  </si>
  <si>
    <t>12 mm thk clear toughened glass</t>
  </si>
  <si>
    <t>Fevicol</t>
  </si>
  <si>
    <t>Kg</t>
  </si>
  <si>
    <t>Plastic emulsion paint</t>
  </si>
  <si>
    <t>Deco Paint</t>
  </si>
  <si>
    <t>Bottomline Expression 100mm skirting</t>
  </si>
  <si>
    <t>HARDWARE</t>
  </si>
  <si>
    <t>Key Board Tray</t>
  </si>
  <si>
    <t>CPU Stand</t>
  </si>
  <si>
    <t>Ready made footrest</t>
  </si>
  <si>
    <t>Cable Organizer.-Cable Organizer - 60mm dia.</t>
  </si>
  <si>
    <t>Multi Purpose Lock - Round straight.</t>
  </si>
  <si>
    <t>Drawer Channels.Sleek Telescopic Drawer Slides (I) - 450mm.</t>
  </si>
  <si>
    <t>Pair</t>
  </si>
  <si>
    <t>" W " Hinge.-Spring Loaded Hinge.</t>
  </si>
  <si>
    <t>Handles - 100mm.</t>
  </si>
  <si>
    <t>Tower Bolts.-100mm</t>
  </si>
  <si>
    <t>D' Bracket 12mm</t>
  </si>
  <si>
    <t>Levellors.-Plinth Screw - BB.</t>
  </si>
  <si>
    <t>250mm Handles for Doors in Partitions. (SS Finish)</t>
  </si>
  <si>
    <t>Pair.</t>
  </si>
  <si>
    <t>Mortise Dead Lock.</t>
  </si>
  <si>
    <t>Profile Cylinder - Key and Knob. (70mm – SS Finish)</t>
  </si>
  <si>
    <t>SS – 2 Ball Bearing Hinges.</t>
  </si>
  <si>
    <t>Concealed Door Closer – 60 to 850 Kgs.</t>
  </si>
  <si>
    <t>Door Stopper – with Spring – SS Road &amp; Zinc Body.</t>
  </si>
  <si>
    <t>Door Buffer – PVC White.</t>
  </si>
  <si>
    <t>Dorma</t>
  </si>
  <si>
    <t>Glass Door Package (with Lock)  XL - C 4001B</t>
  </si>
  <si>
    <t>Corner Lock patch with EPC and strike plate XL - C 4011A</t>
  </si>
  <si>
    <t>Bottom Patch XL - C 4013</t>
  </si>
  <si>
    <t>Top Pivot XL - C 4014</t>
  </si>
  <si>
    <t>Top Patch XL - C 4012</t>
  </si>
  <si>
    <t>Floor spring with 90 Hold open (EN 4)</t>
  </si>
  <si>
    <t>Corner Connector XL - C 4007A</t>
  </si>
  <si>
    <t>Top, Bottom &amp; Central Connector XL - C 4006A</t>
  </si>
  <si>
    <t>Sal Wood</t>
  </si>
  <si>
    <t>Cum</t>
  </si>
  <si>
    <t>BEADINGS: (BEECH WOOD) - Rate of Beech Wood per Cu.M.</t>
  </si>
  <si>
    <t>85mm x 15mm – Jamb.</t>
  </si>
  <si>
    <t xml:space="preserve">Beech Wood </t>
  </si>
  <si>
    <t>Labour @ 15%</t>
  </si>
  <si>
    <t>Paint</t>
  </si>
  <si>
    <t>Total:</t>
  </si>
  <si>
    <t>Rate per RMT</t>
  </si>
  <si>
    <t>65mm x 15mm – Beading</t>
  </si>
  <si>
    <t>50mm x 6mm – Beading.</t>
  </si>
  <si>
    <t>Labour @ 10%</t>
  </si>
  <si>
    <t>35mm x 6mm – Beading</t>
  </si>
  <si>
    <t>18mm x 6mm – Beading.</t>
  </si>
  <si>
    <t>12mm x 6mm – Beading.</t>
  </si>
  <si>
    <t>12mm x 12mm – Beading.</t>
  </si>
  <si>
    <t>RATE ANALYSIS FOR INTERIOR WORKS:</t>
  </si>
  <si>
    <t>S. NO.</t>
  </si>
  <si>
    <t>PARTICULARS</t>
  </si>
  <si>
    <t>NOS</t>
  </si>
  <si>
    <t>L</t>
  </si>
  <si>
    <t>B</t>
  </si>
  <si>
    <t>Was-tage %.</t>
  </si>
  <si>
    <t>Was-tage Qty.</t>
  </si>
  <si>
    <t>QUAN-TITY.</t>
  </si>
  <si>
    <t>RATE</t>
  </si>
  <si>
    <t>AMT</t>
  </si>
  <si>
    <t>25mm thk. Block board</t>
  </si>
  <si>
    <t xml:space="preserve"> </t>
  </si>
  <si>
    <t xml:space="preserve">Table Top </t>
  </si>
  <si>
    <t>18mm thk. HDF board</t>
  </si>
  <si>
    <t xml:space="preserve">Edge Beading </t>
  </si>
  <si>
    <t>Vertical Apron</t>
  </si>
  <si>
    <t>Drawer unit Vertical</t>
  </si>
  <si>
    <t>Shutter unit Vertical</t>
  </si>
  <si>
    <t xml:space="preserve">Shutter </t>
  </si>
  <si>
    <t>12mm thk. HDF board</t>
  </si>
  <si>
    <t>Extera support (v)</t>
  </si>
  <si>
    <t>Extera support (h)</t>
  </si>
  <si>
    <t>Drawer unit- Sides</t>
  </si>
  <si>
    <t>Front &amp; back</t>
  </si>
  <si>
    <t>Bottom</t>
  </si>
  <si>
    <t>Shutter unit shelf</t>
  </si>
  <si>
    <t>6mm flexi ply</t>
  </si>
  <si>
    <t>Apron in curved shape</t>
  </si>
  <si>
    <t>Apron</t>
  </si>
  <si>
    <t>Front apron</t>
  </si>
  <si>
    <t>Drawer Front</t>
  </si>
  <si>
    <t>Sides</t>
  </si>
  <si>
    <t>Shutter Front</t>
  </si>
  <si>
    <t>Table Expose area</t>
  </si>
  <si>
    <t>Drawer unit inside</t>
  </si>
  <si>
    <t>Sutter Inside</t>
  </si>
  <si>
    <t>18mmx6mm thk beech wood beading</t>
  </si>
  <si>
    <t>Drawer vertical</t>
  </si>
  <si>
    <t>Shutter vertical</t>
  </si>
  <si>
    <t>Shutter</t>
  </si>
  <si>
    <t>12mmx6mm thk beech wood beading</t>
  </si>
  <si>
    <t>Drawer</t>
  </si>
  <si>
    <t>Shutter Shelf</t>
  </si>
  <si>
    <t>12mm thk clear toughened glass</t>
  </si>
  <si>
    <t>Front</t>
  </si>
  <si>
    <t>Hardware</t>
  </si>
  <si>
    <t>Mobile CPU Pedestal.</t>
  </si>
  <si>
    <t>Moulded Key Board Tray.</t>
  </si>
  <si>
    <t>Ready Made Footrest – 400mm x 350mm x 65mm.</t>
  </si>
  <si>
    <t>Drawer Channels – 450mm.</t>
  </si>
  <si>
    <t>“ W “ Hinges for Loose Furniture.</t>
  </si>
  <si>
    <t>SS Tower Bolt – 100mm.</t>
  </si>
  <si>
    <t>“ C “ Handle SS Finish – 96mm</t>
  </si>
  <si>
    <t>Labour Charges for Fixing:</t>
  </si>
  <si>
    <t>Sub Total</t>
  </si>
  <si>
    <t>SAY</t>
  </si>
  <si>
    <t>M</t>
  </si>
  <si>
    <t>Note: Height of partitions is taken upto Slab bottom.</t>
  </si>
  <si>
    <t>51mm x 35mm studs</t>
  </si>
  <si>
    <t xml:space="preserve">51mm x 32mm tracks </t>
  </si>
  <si>
    <t>85mmx15mm Beech wood jamb</t>
  </si>
  <si>
    <t>12mmx12mm Beech wood jamb</t>
  </si>
  <si>
    <t>Hardware, screws etc., - L.S.</t>
  </si>
  <si>
    <t xml:space="preserve">Labour charges </t>
  </si>
  <si>
    <t>Rate 1sqm.</t>
  </si>
  <si>
    <t>Glass Partion Size</t>
  </si>
  <si>
    <t>Main Door Size</t>
  </si>
  <si>
    <t>Top, Bottom &amp; Central Connector  XL - C 4006A</t>
  </si>
  <si>
    <t>Handle</t>
  </si>
  <si>
    <t>Rate Per Sqmt.</t>
  </si>
  <si>
    <t>Door Size</t>
  </si>
  <si>
    <t>DOORS IN PARTITIONS BOTH SIDE LAMINATE  - 50MMM THK FLUSH DOOR SHUTTER</t>
  </si>
  <si>
    <t>Size</t>
  </si>
  <si>
    <t>Quantity analysis</t>
  </si>
  <si>
    <t>Door size</t>
  </si>
  <si>
    <t>sqm</t>
  </si>
  <si>
    <t xml:space="preserve">Size of shutter </t>
  </si>
  <si>
    <t>8mm thk clear glass</t>
  </si>
  <si>
    <t>rmt</t>
  </si>
  <si>
    <t>65mm x 15mm – Beading.</t>
  </si>
  <si>
    <t>85mm x 15mm – Beading.</t>
  </si>
  <si>
    <t>Cost analysis</t>
  </si>
  <si>
    <t>sq.m</t>
  </si>
  <si>
    <t>Cost of fevicol</t>
  </si>
  <si>
    <t>kg.</t>
  </si>
  <si>
    <t>kg</t>
  </si>
  <si>
    <t xml:space="preserve">Add for nails &amp; screws etc . </t>
  </si>
  <si>
    <t>LS</t>
  </si>
  <si>
    <t xml:space="preserve">25mm block board </t>
  </si>
  <si>
    <t>Top</t>
  </si>
  <si>
    <t>Vertical</t>
  </si>
  <si>
    <t>Edge Beading</t>
  </si>
  <si>
    <t>Shutters</t>
  </si>
  <si>
    <t>back</t>
  </si>
  <si>
    <t>Shelf</t>
  </si>
  <si>
    <t>Front Shutters</t>
  </si>
  <si>
    <t>Painting</t>
  </si>
  <si>
    <t>Top &amp; Bottom</t>
  </si>
  <si>
    <t>Back &amp; Front</t>
  </si>
  <si>
    <t>Shelfs</t>
  </si>
  <si>
    <t xml:space="preserve">18mmx6mm beech wood lipping </t>
  </si>
  <si>
    <t xml:space="preserve">12mmx6mm beech wood lipping </t>
  </si>
  <si>
    <t xml:space="preserve">Fevicol </t>
  </si>
  <si>
    <t>Hardware.</t>
  </si>
  <si>
    <t xml:space="preserve">Locks </t>
  </si>
  <si>
    <t>Screws, etc., - LS.</t>
  </si>
  <si>
    <t xml:space="preserve">Labour </t>
  </si>
  <si>
    <t xml:space="preserve">RATE PER SQ. M. </t>
  </si>
  <si>
    <t>BRANCH HEAD EXECUTIVE TABLE:</t>
  </si>
  <si>
    <t>SIZE</t>
  </si>
  <si>
    <t xml:space="preserve">25mm thk block board </t>
  </si>
  <si>
    <t>Edge</t>
  </si>
  <si>
    <t>Front Apron</t>
  </si>
  <si>
    <t>Thickness</t>
  </si>
  <si>
    <t>Top Support</t>
  </si>
  <si>
    <t>C' shape-top</t>
  </si>
  <si>
    <t>Drawer unit Back</t>
  </si>
  <si>
    <t>Shutter Drawer</t>
  </si>
  <si>
    <t>Front Edge</t>
  </si>
  <si>
    <t>V Edge</t>
  </si>
  <si>
    <t>C' Shape</t>
  </si>
  <si>
    <t>Edges</t>
  </si>
  <si>
    <t>Drawer unit</t>
  </si>
  <si>
    <t>Front, Back &amp; Sides</t>
  </si>
  <si>
    <t>Shutter &amp; Drawer</t>
  </si>
  <si>
    <t>Drawer unit-vertical</t>
  </si>
  <si>
    <t>Shutter - vertical</t>
  </si>
  <si>
    <t>PB &amp; SME TABLES:</t>
  </si>
  <si>
    <t>Sides Vertical</t>
  </si>
  <si>
    <t>Shutter Drawer- sides</t>
  </si>
  <si>
    <t>Vertical Edge</t>
  </si>
  <si>
    <t>Drawer sides</t>
  </si>
  <si>
    <t>OFFICER'S TABLES:</t>
  </si>
  <si>
    <t>Side unit back</t>
  </si>
  <si>
    <t>Shutter unit</t>
  </si>
  <si>
    <t>Shutter - unit</t>
  </si>
  <si>
    <t xml:space="preserve">Shutter Unit Self </t>
  </si>
  <si>
    <t>Verticals</t>
  </si>
  <si>
    <t>Vertical sides</t>
  </si>
  <si>
    <t>Concealed cove lights</t>
  </si>
  <si>
    <t>Extera Supports</t>
  </si>
  <si>
    <t>WRITING DESK</t>
  </si>
  <si>
    <t>Verticles</t>
  </si>
  <si>
    <t>Screws, nails etc., - L. S.</t>
  </si>
  <si>
    <t>Labour .</t>
  </si>
  <si>
    <t>RATE PER TABLE</t>
  </si>
  <si>
    <t>1mm thk Testure laminate</t>
  </si>
  <si>
    <t>1mm thk high edge gloss laminate</t>
  </si>
  <si>
    <t>Size Considered</t>
  </si>
  <si>
    <t xml:space="preserve">25mm thick blockboard </t>
  </si>
  <si>
    <t xml:space="preserve">PROPOSED INTERIORS FOR STATE BANK OF INDIA, UNIFORM LAYOUT FOR BRANCHES.
</t>
  </si>
  <si>
    <t xml:space="preserve">(a)  27 x 37 x 1.6mm Soffit Clip, 5mm suspension rod / 25 x 10 x 0.5mm Ceiling Angle, adjustable spring loaded suspension clip / 2.64mm dia Connecting Clip, 20 x 28 x 30 x 0.5mm Perimeter Channel, Top Cross Rail of 3000mm long of 0.55BMT Furring Channel / 15 x 45 x 15 x 0.9mm Intermediate Channel and 4000mm long made of 0.5mm BMT the Top Cross Rail / 80 x 26 x 0.5mm Ceiling Section to be suspended from ceiling at every 1200mm and Furring / Intermediate Channel to be fixed to Top Cross Rail / Ceiling Section at every 600mm to make a grid of 1200 x 600mm. </t>
  </si>
  <si>
    <t>WORK TABLE - WITH LAMINATE</t>
  </si>
  <si>
    <t>WORK TABLE - WITH ACRYLIC SOLID SURFACE</t>
  </si>
  <si>
    <t>45mm x 45mm – Beading.</t>
  </si>
  <si>
    <t>45mmx45mm beech wood Beading</t>
  </si>
  <si>
    <t>Table top</t>
  </si>
  <si>
    <t>DOORS IN PARTITIONS BOTH SIDE LAMINATE  - 35MMM THK FLUSH DOOR SHUTTER</t>
  </si>
  <si>
    <t>35mm x 6mm – Beading.</t>
  </si>
  <si>
    <t>Door closer-DC60 SM make - dorsetkaba</t>
  </si>
  <si>
    <t>Each</t>
  </si>
  <si>
    <t>35mm thk flush door</t>
  </si>
  <si>
    <t>45mm x 15mm – Beading</t>
  </si>
  <si>
    <t>45mm x 15mm – Beading.</t>
  </si>
  <si>
    <t xml:space="preserve">Door closer-DC60 SM </t>
  </si>
  <si>
    <t xml:space="preserve">35MM DOORS IN PARTITIONS: </t>
  </si>
  <si>
    <t>GRAHAK MITRA TABLE:</t>
  </si>
  <si>
    <t>12MM TOUGHENED GLASS ON TRANSACTION SIDE FOR SINGLE WINDOW COUNTERS:</t>
  </si>
  <si>
    <t>Providing, making and fixing in position 12mm thick clear float glass in the front side of approximate size 1650mm x 450mm with a central cut out of 200mm x 175mm.  All the edges of the glass to be polished for a smooth finish and the glass is to be fixed with " D " brackets.  The cost to include all materials, labour, hardware etc., for a neat finished job as per drawings and diretions etc., complete.</t>
  </si>
  <si>
    <t>DINING TABLE</t>
  </si>
  <si>
    <t>Edge beading</t>
  </si>
  <si>
    <t>BACK DROP</t>
  </si>
  <si>
    <t>GZM-5 Decorative Marble UV sheets (make-Giza)</t>
  </si>
  <si>
    <t>WALL MOUNTED WRITING DESK</t>
  </si>
  <si>
    <t>Back</t>
  </si>
  <si>
    <t>vertical</t>
  </si>
  <si>
    <t>Supports</t>
  </si>
  <si>
    <t>GRAHAK MITRA &amp; TECH MITRA:</t>
  </si>
  <si>
    <t>In side Apron</t>
  </si>
  <si>
    <t>Inside Verticals</t>
  </si>
  <si>
    <t>Less Glass</t>
  </si>
  <si>
    <t>Vertical for Glass</t>
  </si>
  <si>
    <t>Vertical Box 5no.x1050x200x750</t>
  </si>
  <si>
    <t>The rate shall be inclusive of all the necessary material,required hardware, labour, transportation, necessary for the complete execution of the item.</t>
  </si>
  <si>
    <t>DIGITAL WALL BEHIND GRAHAKMITRA (GREETING AREA)</t>
  </si>
  <si>
    <t>Providing and fixing display boards (behind Help
desk &amp; counters) using twin perplex sheets of highly
transparent clear acrylic sheets of 5mm thick sand
witched with display sheet (placed in between) with
required information display sheets made with 3M
thickers material as per banks approved design and
write up of Uniform layout policy of SBI and fixed to
walls with suitable SS studs. The information or
display material to be printed should be strictly as
per banks approved patterns and contractor must
arrange designer for making sample approval of the
image. A Caption “THE BANKER FOR EVERY
INDIAN” to be printed on the flex in bold and standard
specified color as above caption. The subject to be
displayed for the DIGITAL wall has to be designed by
the vendor as directed by the Engineer.</t>
  </si>
  <si>
    <t xml:space="preserve">ROLLING SHUTTER BOX </t>
  </si>
  <si>
    <t>Supplying and fixing 50mmx50mm TW frame and closing  with 18mm thk MDF Board (Interior Grade ) on all sides as per the design and finished  on all internals and exposed areas of bank with 3 mm thk ACP with netural sillica as per the design and directions of the architects.The rolling shutter box shall be provided with trap door in 18mm thk MDF board (Interior Grade ) with necessary locks ,handles as directed .</t>
  </si>
  <si>
    <t>Anti termite solution to be sprayed before using the MDF Board in the work and  making complete as per the design and drawing.The rate shall be inclusive of all the necessary material,required hardware, labour, transportation, necessary for the complete execution of the item.</t>
  </si>
  <si>
    <t>(d)  All beech wood members to have minimum two coats of LOW VOC or NO VOC duco paint finish.</t>
  </si>
  <si>
    <t>PROPOSED INTERIORS FOR STATE BANK OF INDIA, UNIFORM LAYOUT FOR BRANCHES. KODANGAL BRANCH.</t>
  </si>
  <si>
    <t xml:space="preserve">Providing, making and fixing in position Fixed 12mm / 10mm toughened glass openable shutters work as per specifications given below and for the openings mentioned.  Main Entrance Glass Work comprising of Door opening of approximate size 1800mm x 2250mm - 2400mm in two pieces, and Partition Doors of approximate size 900 - 1000mm x 2250mm - 2400mm.  The entire work to be done as per site conditions with following specifications etc., complete as directed. 
Providing and fixing in position Designer Film  with elipse design on all glasses as per draswings and heights mentioned.  The Designer Film is of Harmony / 3M or equivalent approved make.  The rate is for a finished item of work etc., complete as directed. </t>
  </si>
  <si>
    <t>(b) 12mm MDF EXTERIOR GRADE Board fixed on both sides with 25mm dry wall screws for the entire height of the partition.</t>
  </si>
  <si>
    <t>(b) 12mm MDF EXTERIOR GRADE Board fixed on all four sides with 25mm dry wall screws for the entire height of the partition.</t>
  </si>
  <si>
    <t>(c)  All other members to be with 18mm MDF EXTERIOR GRADE Board and all exposed faces of the table to have 6mm acrylic solid surface OR 1mm HD Gloss Laminate as specified above to be used.</t>
  </si>
  <si>
    <t>(d)  All the edges of 18mm MDF EXTERIOR GRADE Board to have 20mm x 6mm beech wood edge lipping.</t>
  </si>
  <si>
    <t>(g)  One Three Drawer Unit made with 18mm MDF EXTERIOR GRADE Board and 12mm MDF EXTERIOR GRADE Board.  The unit to have one vertical filing drawer at bottom and two equal drawers on top.  The rate to include all necessary hardware viz., telescopic drawer channels, handles, locks, etc., and 20mm x 6mm beech wood edge lipping etc.,</t>
  </si>
  <si>
    <t>(h)  One Side Table with shutter unit of 400mm made with 18mm MDF EXTERIOR GRADE Board and 19mm plywood  with necessary hardware viz., ' W ' hinges, handles, locks, tower bolts, etc., and 20mm x 6mm beech wood edge lipping etc.,</t>
  </si>
  <si>
    <t>(a) Main Table and side Table top and to be made in 25mm block board with 1mm High gloss Laminate.  The front side of the table to have a inverted " U " made with 2 x 18mm thick MDF EXTERIOR GRADE Board cladded with 1mm High gloss Laminate on the front and the verticals towards the modesty panel.  The modesty panel to have 19mm MDF EXTERIOR GRADE Board cladded with 1mm HD Gloss and 1mm Laminate as specified.</t>
  </si>
  <si>
    <t>(b)  The " L " shaped table top on the back side along with side tabe to have 49mm edge alround, which is to be achieved by adding a 75mm piece of 18mm MDF EXTERIOR GRADE Board to the table topl from bottom and this vertical edge is to be cladded with 1mm High gloss Laminate.</t>
  </si>
  <si>
    <t xml:space="preserve">(a) A Octogonal support boxing is to be made 450mm at floor level tapering upwards to 600mm at 900mm from floor made in 12mm MDF EXTERIOR GRADE Board cladded with 1mm High Gloss Laminate.  A top to be provided at 900mm level from floor to be made with 25mm Block Board cladded with 1mm High Gloss Laminate which will have verticals made with 12mm MDF EXTERIOR GRADE Board cladded with 1mm High Gloss Laminate upto the table top level of 1050mm from floor level.  </t>
  </si>
  <si>
    <t>(c)  All members to be with 12mm / 18mm MDF EXTERIOR GRADE Board and all exposed faces to have 1mm High Gloss Laminate as specified.</t>
  </si>
  <si>
    <t>(d)  All the edges of 12mm / 18mm MDF EXTERIOR GRADE Board to have 20mm x 6mm beech wood edge lipping.</t>
  </si>
  <si>
    <t>(a) Main Table and side Table top and to be made in 25mm block board with 6mm thick acrylic solid surface.  The front side of the table to have a " C " made with 2 x 18mm thick MDF Exterior Grade Board cladded with 1mm Laminate on the front and the verticals towards the modesty panel.  The modesty panel to have 18mm MDF Exterior Grade Board cladded with 1mm Laminate as specified.</t>
  </si>
  <si>
    <t>(b)  The front of the table to have a 600mm x 1050mm proud portion with provision for cove lighting at bottom and this central portion to be cladded with 6mm thick blue colored lacqured glass.</t>
  </si>
  <si>
    <t>(c)  All other members to be with 18mm MDF Exterior Grade Board and all exposed faces of the table to have 1mm Laminate or horizontal and 1mm glossy Laminate for verticals and the drawer unit to have 1mm Glossy Laminate as specified to be used.</t>
  </si>
  <si>
    <t>(d)  All the edges of 18mm MDF Exterior Grade Board to have 18mm x 12mm MDF Exterior Grade edge lipping.</t>
  </si>
  <si>
    <t>(g)  One Three Drawer Unit made with 18mm MDF Exterior Grade Board and 12mm MDF Exterior Grade Board.  The unit to have one vertical filing drawer at bottom and two equal drawers on top.  The rate to include all necessary hardware viz., telescopic drawer channels, handles, locks, etc., and 18mm x 12m MDF Exterior Grade edge lipping etc.,</t>
  </si>
  <si>
    <t>(i) All the unexposed faces to have 0.8mm Laminate OR minimum two coats of NO VOC or LOW VOC enamel paint with putty finish.</t>
  </si>
  <si>
    <t>Providing, making and placing in position Single Window Counters along with necessary partitions as per item 1.2 above (The partiltions will be measured and paid as per item 1.2 i.e., Half Height Partitions) with following specifications and per dimensions specified.  The front side of the Single Window Counter to have 8mm x 100mm Fiber Cement Board / Calcium Silicate Board / Reinforced Magnesium Silicate Board as Skirting cladded with 1mm glossy Laminate (blue color) at bottom.</t>
  </si>
  <si>
    <t>(b)  Tabletop of main table and side table to be made in 25mm block board with 1mm thick Laminate for horizontal surfaces and 1mm glossy laminate for vertical surfaces and double thickness at edges alround.  The 1mm thick glossy Laminate to continue in the front side with curvature from the front table top to the modesty panel in front with cove lighting provision.</t>
  </si>
  <si>
    <t>(c)  All other members to be with 18mm MDF Exterior Grade Board / 2 Nos. of 6mm Flexi Plywood in curvature (which should be achieved with a frame work of 50mm x 50mm sal wood frame to be fixed from the front modesty panel / apron and the bottom of this niche to have provision of cove lighting with LED strips) and all exposed faces of the table to have 1mm thick Laminate for horizontal surfaces and 1mm thick glossy Laminate for vertical surfaces and 12mm thick MDF Exterior Grade Board as specified in the drawing to be used.</t>
  </si>
  <si>
    <t>(g) One Three Drawer Unit made with 18mm MDF Exterior Grade Board and 12mm MDF Exterior Grade Board.  The unit to have one vertical filing drawer at bottom and two equal drawers on top.  The rate to include all necessary hardware viz., telescopic drawer channels, handles, locks, etc., and 18mm x 12mm MDF Exterior Grade edge lipping etc.,</t>
  </si>
  <si>
    <t>(h)  One Side Table with shutters made with 25mm block board top and 18mm MDF Exterior Grade Board for all other members  with necessary hardware viz., ' W ' hinges, SS handles, locks, SS tower bolts, etc., and 18mm x 12mm beech wood edge lipping etc.,</t>
  </si>
  <si>
    <t>The cost to include the " L " shaped Single Window Counter and to include all materials, hardware, labour for a neat and finish job as per drawings and directions etc., complete.</t>
  </si>
  <si>
    <t>(a) Main Table Top to have 25mm block board with 1mm thick Laminate.  The vertical supports of the table is to be made with two side boxing of 75mm x 800mm x 750mm made with 18mm MDF Exterior Grade Board and the front side boxing to 200mm x 450mm x 750mm on either sides and central boxing of 250mm x 600mm x 750mm, all made with 18mm MDF Exterior Grade Board cladded with 1mm Laminate OR 12mm thick MDF Exterior Grade Board finished with minimum two caots of LOW VOC or NOW VOC duco paint on all the exposed sides and top.</t>
  </si>
  <si>
    <t>Providing and fixing in position Designer Film  with elipse design on all glasses as per draswings and heights mentioned.  The Designer Film is of Harmony / 3M or equivalent approved make.  The rate is for a finished item of work etc., complete as directed.</t>
  </si>
  <si>
    <t>BRICK WORK</t>
  </si>
  <si>
    <t xml:space="preserve"> Providing and constructing 230mm thick brick masonry in CM 1:6 using approved quality table moulded bricks of minimum 50kg / Sq.cm including raking, curing,scaffolding and staging, lead and lift, in all situations such as walls / pillasters / pillars /
stub supports etc. complete as per drawing and as directed at all levels and heights</t>
  </si>
  <si>
    <t>CU.M</t>
  </si>
  <si>
    <t xml:space="preserve">Providing and constructing 115mm thick Brick masonry in CM 1:4 straight or curved walls, piers and architectural features at all levels including a concrete band of 75mm thick with 3-nos of 8mm dia reinforcement rod at every 750mm ht with M20 grade concrete mix including shuttering, staging, scaffolding, centering, formwork, curing, etc., cement mortar of 1:4 including packing the residual space between masonry &amp; other structural members like columns, beams, slabs etc., providing openings as directed and finishing neatly around the same, the cost of all materials including reinforcement steel, cost of labour, cost of equipment and machinery, work at all leads and lifts, loading and unloading, transportation, and all other incidental charges etc., complete. The work shall be carried out as per the directions of the Engineer in charge </t>
  </si>
  <si>
    <t>FOR TOILETS</t>
  </si>
  <si>
    <t>SQ.M</t>
  </si>
  <si>
    <t>FINISHING</t>
  </si>
  <si>
    <t xml:space="preserve">Plastering  in 2 coats with 16mm thk 12mm thk in CM (1:6)prop and top coat 4mm thk in CM (1:4)prop for internal walls  with dubara sponge finishing including cost and conveyance of all materials seignorage fee, all taxes,  water to work site and all operational, incidential labour charges such as scaffolding, mixing, motor, lift charges, curing etc. complete for finished item of work as directed by the Engineer in charge/Architect  </t>
  </si>
  <si>
    <t>FOR INTERNAL WALLS</t>
  </si>
  <si>
    <t xml:space="preserve">Plastering  in 2 coats with  a base coat of  20mm thk 16mm thk in CM (1:6) and 4mm thk in CM (1:4) prop for extenal wall with dubara sponge finishing including cost and conveyance of all materials seignorage fee, all taxes,  water to work site and all operational, incidential labour charges such as scaffolding, mixing, motor, lift charges, curing etc. complete for finished item of work as directed by the Engineer in charge/Architect  </t>
  </si>
  <si>
    <t>FOR EXTERNAL WALLS</t>
  </si>
  <si>
    <t>FLOORING</t>
  </si>
  <si>
    <t>a</t>
  </si>
  <si>
    <t>BRANCH</t>
  </si>
  <si>
    <t>b</t>
  </si>
  <si>
    <t>E-LOBBY</t>
  </si>
  <si>
    <t xml:space="preserve">GRANITE FLOORING ON ENTRANCE STEPS </t>
  </si>
  <si>
    <t>DOORS</t>
  </si>
  <si>
    <t xml:space="preserve">Providing and fixing frame made from 1.2 mm powder coated cold rolled steel profiles of overall section size of 60 mm x 45 mm with 21 mm rivet for shutter with necessary stiffeners hinges and screws. V- Board shutter with alround style “U” lipping of size 15 x 18 x 15 mm made from 0.8 mm thick CRCA powder coated steel profile with 16 mm thick V-board with necessary screws fixed at every 1’-0” interval 250 mm long aldrops 2 nos. M.S. nickel coated 250 mm long 1 no. M.S. Tower Bolts Including cost and conveyance. with 1.5mm thk laminate on either side  as per approved colour, labour charges etc.,.1 No. eye viewer and 1No. rubber bush including fixing the fixtures to door with required number of screws, bolt and nuts including all labour charges for making and fixing the frame in position as directed by the Engineer in charge, fixing the shutter duly fixing required fixtures to the frame etc.,  complete for finished item of work  (The vertical frame of door shall be embedded in flooring for a depth of not less than 10 mm) </t>
  </si>
  <si>
    <t>FOR TOILETS 750 mm X 2100mm 5 NO.S</t>
  </si>
  <si>
    <t xml:space="preserve">ALUMINIUM WINDOWS </t>
  </si>
  <si>
    <t>1200mm x1200mm 8 NO.S</t>
  </si>
  <si>
    <t xml:space="preserve">ALUMINIUM VENTILATORS </t>
  </si>
  <si>
    <t>600mm x600mm 3 NO.S</t>
  </si>
  <si>
    <t>Dismantling Work</t>
  </si>
  <si>
    <t>Dismantaling and Removal of Brick works,RCC Chajja's RCC Lintal's And Existing Flooring and carting away as directed covering the entire work area of dismantaling with green mesh to avoid fall of debris as per the directions of the Engg of the Bank. The rate shall be inclusive of all the,labour,  transportation necessary required for the complete execution of the item.</t>
  </si>
  <si>
    <t>SANITARY AND WATER SUPPLY</t>
  </si>
  <si>
    <t>NO.S</t>
  </si>
  <si>
    <t>WATER SUPPLY WORKS</t>
  </si>
  <si>
    <t>RMT</t>
  </si>
  <si>
    <t>Providing, making and fixing in position Fixed 12mm / 10mm toughened glass as fixed glass from Floor to available Ceiling level along with Main Entrance Door and for Partitions.  The glass is to be fixed with patch fittings and all the edges of the glass have to be polished for a smooth finish.  The work includes cost of all materials, approved hardware, making necessary template before toughening of glass and fixing the same as per site conditions to a neat finished work as per drawings and directions etc., complete.
The rate to include necessary hardware viz., door stopper, door buffer, pair of " H " type handles, Mortise Dead Lock and Euro Profile Cylinder - Key and Knob 70mm SS, SS 2 ball-bearing hinges - (127mm x 76mm x 2.5mm), door closer (all of approved make and quality), ZERO VOC or NO VOC duco paint finish for all beech wood members, etc., complete as directed.</t>
  </si>
  <si>
    <r>
      <t>Providing and fixing 35mm thick solid core flush shutter with 85mm x 15mm beech wood jamb alround and 12mm x 12mm button beading fixed 1mm Laminate as specified</t>
    </r>
    <r>
      <rPr>
        <b/>
        <sz val="12"/>
        <rFont val="Arial Narrow"/>
        <family val="2"/>
      </rPr>
      <t xml:space="preserve"> </t>
    </r>
    <r>
      <rPr>
        <sz val="12"/>
        <rFont val="Arial Narrow"/>
        <family val="2"/>
      </rPr>
      <t xml:space="preserve">on both sides and 8mm clear float glass with 3M privacy film fixed as per drawing with 50mm x 15mm beech wood jamb around the glass opening and 12mm x 12mm beech wood beading for fixing of glass on both sides.  </t>
    </r>
  </si>
  <si>
    <r>
      <rPr>
        <b/>
        <u val="single"/>
        <sz val="12"/>
        <rFont val="Arial Narrow"/>
        <family val="2"/>
      </rPr>
      <t>DESIGNER FILM WORK:</t>
    </r>
    <r>
      <rPr>
        <sz val="12"/>
        <rFont val="Arial Narrow"/>
        <family val="2"/>
      </rPr>
      <t xml:space="preserve"> The rate to include necessary hardware viz., door stopper, door buffer, pair of " H " type handles, Mortise Dead Lock and Euro Profile Cylinder - Key and Knob 70mm SS, SS 2 ball-bearing hinges - (127mm x 76mm x 2.5mm), door closer (all of approved make and quality), ZERO VOC or NO VOC duco paint finish for all beech wood members, etc., complete as directed.</t>
    </r>
  </si>
  <si>
    <r>
      <t xml:space="preserve">Same as item 1.1 above to be cladded with  1mm Laminate </t>
    </r>
    <r>
      <rPr>
        <b/>
        <sz val="12"/>
        <rFont val="Arial Narrow"/>
        <family val="2"/>
      </rPr>
      <t>(Laminate Base Rate Rs - 600/- Sq.M.)</t>
    </r>
    <r>
      <rPr>
        <sz val="12"/>
        <rFont val="Arial Narrow"/>
        <family val="2"/>
      </rPr>
      <t xml:space="preserve"> from one side to a neat finish as per drawings and directions etc., complete.</t>
    </r>
  </si>
  <si>
    <r>
      <t xml:space="preserve">Providing and laying </t>
    </r>
    <r>
      <rPr>
        <b/>
        <sz val="12"/>
        <rFont val="Arial Narrow"/>
        <family val="2"/>
      </rPr>
      <t>vitrified floor</t>
    </r>
    <r>
      <rPr>
        <sz val="12"/>
        <rFont val="Arial Narrow"/>
        <family val="2"/>
      </rPr>
      <t xml:space="preserve"> tiles 600X600 mm
(10/12 thickness to be specified by the manufacturer) Double Charged ,with water absorption less than 0.08% and conforming to IS : 15622, of approved make, in all colours and shades, laid on 20mm thick cement mortar 1:4 (1 cement : 4 coarse sand), or LATICRATE including Skirting if any required during laying,and grouting the joints with white cement and matching pigments etc., complete..</t>
    </r>
  </si>
  <si>
    <r>
      <t xml:space="preserve">Including Dismantaling and Removal of  Existing Flooring and carting away to a distance of 5km to the nearest municipal dump yard. The rate shall be inclusive of all the,labour,  transportation, material necessary required for the complete execution of the item. The Basic Rate of the Tile shall be RS 65-70 Excluding GST                       </t>
    </r>
    <r>
      <rPr>
        <b/>
        <sz val="12"/>
        <rFont val="Arial Narrow"/>
        <family val="2"/>
      </rPr>
      <t>Note The Rate for the Skirting shall be Paid as per the Rate Quoted for the Flooring</t>
    </r>
  </si>
  <si>
    <r>
      <t xml:space="preserve">Providing and fixing with </t>
    </r>
    <r>
      <rPr>
        <b/>
        <sz val="12"/>
        <rFont val="Arial Narrow"/>
        <family val="2"/>
      </rPr>
      <t>polished granite</t>
    </r>
    <r>
      <rPr>
        <sz val="12"/>
        <rFont val="Arial Narrow"/>
        <family val="2"/>
      </rPr>
      <t xml:space="preserve"> slabs of 20mm thk.(ex showroom rate not less than rs 180/Sft ) for flooring of size not less than 1800x1200mm as per design set over a base of CM(1:5) prop. Jointed neatly with cement puttty to full depth mixed with matching colour pigment  full and half rounding and polishing on edges and  including cost and conveyance of all materials seignorage fee, all taxes,  water to work site and all operational, incidential labour charges such as scaffolding, mixing, motor, lift charges, curing etc. complete for finished item of work as directed by the Engineer in charge/Architect </t>
    </r>
  </si>
  <si>
    <r>
      <rPr>
        <b/>
        <sz val="12"/>
        <rFont val="Arial Narrow"/>
        <family val="2"/>
      </rPr>
      <t>Flooring  with Rustic /Non skid tiles</t>
    </r>
    <r>
      <rPr>
        <sz val="12"/>
        <rFont val="Arial Narrow"/>
        <family val="2"/>
      </rPr>
      <t xml:space="preserve">  of 1st quality of  KHAZARIA / JOHNSON / ASIAN make of  7.3 mm thick  of approved  colour not less than 300x600mm set  over a base coat in C.M (1:6) , 12 mm thick incluidng applying neat cement slurry honey like consistency spread at the rate of 3.30kg/Sqm and filling the joints with white cement mixed with pigments of matching shade laid over existing  concrete bed/RCC slab  including cost of base coat, cost  and conveyance of all materials, excluding CC bed/RCC slab, labour charges for mixing cement mortar , laying of  tiles to required slopes/levels, curing etc complete for finished item of work for all Floors in Toilets.BASIC COST OF THE TILES 85</t>
    </r>
  </si>
  <si>
    <r>
      <t xml:space="preserve">Supplying fabricating and fixing of </t>
    </r>
    <r>
      <rPr>
        <b/>
        <sz val="12"/>
        <rFont val="Arial Narrow"/>
        <family val="2"/>
      </rPr>
      <t>aluminium glazed sliding windows</t>
    </r>
    <r>
      <rPr>
        <sz val="12"/>
        <rFont val="Arial Narrow"/>
        <family val="2"/>
      </rPr>
      <t xml:space="preserve"> 2 track with aluminium of 63.5x38.1x1.5 mm of box section and shutter sedtion of 40mmx18mmx2mm thk of jindal make or equivalent  and panel filling with 5mm thick saint gobain plain glass including rubber beeding, standard accessories like rollers, handles etc., powder coated to  required colour for sliding windows including cost of supply and fixing of aluminium grill with F channel fixing to window frame etc., complete and as directed by Engineer-in-charge/Architect.</t>
    </r>
  </si>
  <si>
    <r>
      <t xml:space="preserve">Supplying fabricating and fixing of </t>
    </r>
    <r>
      <rPr>
        <b/>
        <sz val="12"/>
        <rFont val="Arial Narrow"/>
        <family val="2"/>
      </rPr>
      <t xml:space="preserve">aluminium  ventilators </t>
    </r>
    <r>
      <rPr>
        <sz val="12"/>
        <rFont val="Arial Narrow"/>
        <family val="2"/>
      </rPr>
      <t xml:space="preserve"> with outer Z section 46mmx44mm x2mm thickness  and shutter with  z - section 46mmx44mmx2mm thick of all jindal make or approved equivalent and with  and panel filling with 5mm thick saint gobain plain glass including rubber beeding, standard accessories like rollers, handles etc., powder coated to  required colour for sliding windows including cost of supply and fixing of aluminium grill with F channel fixing to window frame etc., complete and as directed by Engineer-in-charge/Architect.</t>
    </r>
  </si>
  <si>
    <r>
      <rPr>
        <b/>
        <sz val="12"/>
        <rFont val="Arial Narrow"/>
        <family val="2"/>
      </rPr>
      <t>Dadooing in toilets with Rustic  tiles 300x600 MM</t>
    </r>
    <r>
      <rPr>
        <sz val="12"/>
        <rFont val="Arial Narrow"/>
        <family val="2"/>
      </rPr>
      <t xml:space="preserve"> ,  1st quality ) over a base coat of  12 mm thick in CM (1:5) prop  incluidng applying neat cement slurry honey like consistency spread at the rate of 3.30kg/Sqm and jointed with  white cement mixed with pigment of matching shade including cost and conveaynce of all materials  and labour charges etc. complete for finished item of work to walls in toilets as directed by the Department. BASIC COST OF THE TILE IS RS 85</t>
    </r>
  </si>
  <si>
    <r>
      <t xml:space="preserve">Supplying and fixing of 150mm x 100mm </t>
    </r>
    <r>
      <rPr>
        <b/>
        <sz val="12"/>
        <rFont val="Arial Narrow"/>
        <family val="2"/>
      </rPr>
      <t>SWG gully traps</t>
    </r>
    <r>
      <rPr>
        <sz val="12"/>
        <rFont val="Arial Narrow"/>
        <family val="2"/>
      </rPr>
      <t xml:space="preserve"> of ISI make confirming to ISI 651 &amp; 4127 with C.I grating &amp; constructing brick masonry in CM (1:6) prop. intermediate chamber and fitted with 304.8 mm X 288.6 mm (12"x9") C.I Frame with hinged cover of standard make as approved including cost and conveyance of all materials to site, labour charges., etc complete for finished item of work.</t>
    </r>
  </si>
  <si>
    <r>
      <t>Supplying and fixing 100 mm dia inlet - 75 mm (3") outlet</t>
    </r>
    <r>
      <rPr>
        <b/>
        <sz val="12"/>
        <rFont val="Arial Narrow"/>
        <family val="2"/>
      </rPr>
      <t xml:space="preserve"> CI floor traps</t>
    </r>
    <r>
      <rPr>
        <sz val="12"/>
        <rFont val="Arial Narrow"/>
        <family val="2"/>
      </rPr>
      <t xml:space="preserve"> 1st quality ISI marked conforming to IS 1729-1979 with C.P grating fixing with white cement as per the site requirements with standard practice including CP cockroach trap with gratting, black painted for all floors including cost and conveyance of all materials to site, labour charges etc, complete for finished item of work.  </t>
    </r>
  </si>
  <si>
    <r>
      <t xml:space="preserve">Providing &amp; Fixing </t>
    </r>
    <r>
      <rPr>
        <b/>
        <sz val="12"/>
        <rFont val="Arial Narrow"/>
        <family val="2"/>
      </rPr>
      <t>star white colour vitreous china wall mounted wc</t>
    </r>
    <r>
      <rPr>
        <sz val="12"/>
        <rFont val="Arial Narrow"/>
        <family val="2"/>
      </rPr>
      <t xml:space="preserve"> with heavy duty soft close seat cover &amp; concealed dual tank. Complete with all accesseries including cutting &amp; making good wall &amp; floor wherever required. Model - CROMA - 2085, 550X367X355mm, 2385 seat cover</t>
    </r>
  </si>
  <si>
    <r>
      <t xml:space="preserve">Providing and fixing </t>
    </r>
    <r>
      <rPr>
        <b/>
        <sz val="12"/>
        <rFont val="Arial Narrow"/>
        <family val="2"/>
      </rPr>
      <t>Jaquar make white vitreous china battery based infrared sensor operated urinal</t>
    </r>
    <r>
      <rPr>
        <sz val="12"/>
        <rFont val="Arial Narrow"/>
        <family val="2"/>
      </rPr>
      <t xml:space="preserve"> of approx. size 610 x 390 x 370 mm having pre &amp; post flushing with water (250 ml &amp; 500 ml consumption), having water inlet from back side, including fixing to wall with suitable brackets .</t>
    </r>
  </si>
  <si>
    <r>
      <t xml:space="preserve">Providing &amp; fixing </t>
    </r>
    <r>
      <rPr>
        <b/>
        <sz val="12"/>
        <rFont val="Arial Narrow"/>
        <family val="2"/>
      </rPr>
      <t>12 mm thick toughened frosted glass partition Between the Urinals</t>
    </r>
    <r>
      <rPr>
        <sz val="12"/>
        <rFont val="Arial Narrow"/>
        <family val="2"/>
      </rPr>
      <t xml:space="preserve"> of ht 900 mm up to 5' ht &amp; fixed to wall.Special patch fittings at directed locations.Patch fittings having side patch with EPC lock. The rate shall be inclusive of all the hardware necessary for the complete execution of the item as per the design.</t>
    </r>
  </si>
  <si>
    <r>
      <rPr>
        <b/>
        <sz val="12"/>
        <rFont val="Arial Narrow"/>
        <family val="2"/>
      </rPr>
      <t>Counter Wash Basin</t>
    </r>
    <r>
      <rPr>
        <sz val="12"/>
        <rFont val="Arial Narrow"/>
        <family val="2"/>
      </rPr>
      <t xml:space="preserve"> Fixing ¾” thk machine cut, machine polished, first quality selected granite counter top with 1:2 cement and mortar base in shape and size as shown in the drawing. 1 1/4th " Kadappa base to be provided below finished granite slab for necessary support. Fixing a wash basin KOHLER -make with all necessary fittings.Model-( K-14715IN-1 Parliament Vessels.lavatory in white available only with single-hole drilling) complete with necessary support and filling up joints with white cement with relevant matching colour, including curing, rubbing, polishing, manual rubbing wherever required on the granite counter &amp; cutting hole for wash basin. 3" band in granite to be provided on the front edge of the counter as per detail drawing and / or as directed. SELECTED GRANITE: BELGIUM BLUE STONE KALINGA to be used as countertop. KOHLER - make single lever basin mixer to be fixed inside wash basin.Model (K-18057IN-ND Touchless cold only lavatory faucet without drain in Polished Chrome Rate to be without wash basin and wash basin mixer &amp; other</t>
    </r>
  </si>
  <si>
    <r>
      <t xml:space="preserve">Supplying and Fixing of </t>
    </r>
    <r>
      <rPr>
        <b/>
        <sz val="12"/>
        <color indexed="8"/>
        <rFont val="Arial Narrow"/>
        <family val="2"/>
      </rPr>
      <t>Towel ring</t>
    </r>
    <r>
      <rPr>
        <sz val="12"/>
        <color indexed="8"/>
        <rFont val="Arial Narrow"/>
        <family val="2"/>
      </rPr>
      <t xml:space="preserve"> Jaquar make continental , Chrome plated with 7 years warranty with necessary screws etc., complete including cost and conveyance of all materials, labour charges for finished item of work in all floors.</t>
    </r>
  </si>
  <si>
    <r>
      <t>Providing and fixing chlorinated poly vinyl chloride(CPVC) pipes having thermal stability for hot and cold water supply, including all CPVC plain and brass threaded fitting, including fixing the pipe with clampsat 1m spacing. This includes jointing of pipes and fitting with one step CPVC solvent cement and cost of cutting chases and making good the same including testing of joints complete as per direction of Engineer in Charge.</t>
    </r>
    <r>
      <rPr>
        <b/>
        <sz val="12"/>
        <rFont val="Arial Narrow"/>
        <family val="2"/>
      </rPr>
      <t>20 mm OD pipe</t>
    </r>
  </si>
  <si>
    <r>
      <t xml:space="preserve">Supply and fixing of </t>
    </r>
    <r>
      <rPr>
        <b/>
        <sz val="12"/>
        <rFont val="Arial Narrow"/>
        <family val="2"/>
      </rPr>
      <t xml:space="preserve">Health Faucet </t>
    </r>
    <r>
      <rPr>
        <sz val="12"/>
        <rFont val="Arial Narrow"/>
        <family val="2"/>
      </rPr>
      <t>of the closet mounting type with hose connected Two Way Bib Cock with flow restrictors/ aerators with complete fittings. (All fittings of approved make) Fittings of PARRYWARE MAKE, MODEL Nos. T9941A1, T9915A1, G3434A1) (Flow rate - 1.3 LPM@ 58 PSI)</t>
    </r>
  </si>
  <si>
    <r>
      <t xml:space="preserve">Supplying and Fixing of </t>
    </r>
    <r>
      <rPr>
        <b/>
        <sz val="12"/>
        <rFont val="Arial Narrow"/>
        <family val="2"/>
      </rPr>
      <t>Short Body Bib Cock</t>
    </r>
    <r>
      <rPr>
        <sz val="12"/>
        <rFont val="Arial Narrow"/>
        <family val="2"/>
      </rPr>
      <t xml:space="preserve"> of ISI make , Chrome finish with 3 years warranty with necessary fittings etc., complete including cost and conveyance of all materials, labour charges for finished item of work in all floors. </t>
    </r>
  </si>
  <si>
    <t>PART-A</t>
  </si>
  <si>
    <t>PART-B</t>
  </si>
  <si>
    <t>FOR E-LOBBY, SAFE ROOM, ENTRANCE STEPS, CLOSING WINDOWS AND OLD ENTRANCE</t>
  </si>
  <si>
    <t>TOTAL FOR INTERIOR WORKS (PART-A):</t>
  </si>
  <si>
    <t>RS.</t>
  </si>
  <si>
    <t>DISCOUNT IF ANY:</t>
  </si>
  <si>
    <t>NET TOTAL:</t>
  </si>
  <si>
    <t>Rupees_______________________________________________ _______________________________________________________ _________________________________________________Only.)</t>
  </si>
  <si>
    <t>Plz note: GST should not be added in the above amount</t>
  </si>
  <si>
    <t>Contractor's signature with seal:</t>
  </si>
  <si>
    <t xml:space="preserve">GRAND TOTAL (PART-A +B) </t>
  </si>
  <si>
    <t>(c) Partition from floor level upto 2350mm level to have 100mm bottomline expression skirting (aqua blue color) at bottom + from 100mm to 300mm level to have 1mm High Gloss Laminate (aqua blue color) + from 300mm level to 950mm level to have 1mm  Gloss Laminate (white color) + from 950mm level to 1100mm level 1mm High Gloss  Laminate (aqua blue color) + from 1100mm level to 2250mm level to have 1mm Textured High Gloss Laminate (white color) + from 2250mm level to 2350mm level  1mm High Gloss Laminate (aqua blue color) on both sides as shown in drawing.</t>
  </si>
  <si>
    <t>(a) MDF capping of 20mm thk on top &amp; both sides of the Partitions horizontally and vertically up to skirting as per drawing and directions. Etc</t>
  </si>
  <si>
    <t>(b) Partition from floor level upto 1100mm level on both sides to have 100mm bottomline expression skirting (aqua blue color) at bottom + from 100mm to 300mm level to have 1mm  Gloss Laminate (aqua blue color) + from 300mm level to 950mm level to have 1mm  Gloss Laminate (white color) + from 950mm level to 1050mm level 1mm  Gloss Laminate (aqua blue color + from 1050mm level to 1100mm level to have 1mm  gloss Laminate on both sides as shown in drawing.</t>
  </si>
  <si>
    <t>Providing, making and placing in position Storage Units with horizontal partitions of 1200mm high abutting wall and 750mm high as back credenza or abutting partition made in 18mm MDF EXTERIOR GRADE Board to all members except table top and 25mm block board  for table top. All The exposed faces of the unit to have 1mm Gloss Laminate as specified  and NO VOC or LOW VOC enamel painting with putty finish on all unexposed faces including NO VOC or NO VOC duco paint finish for all wooden members and all necessary hardware viz., 'W' or wing hinges, locks, handles, tower bolts etc., and beech wood beading 40mm x 40mm at top and beech wood edge lipping 20mm x 6mm etc., as per drawings and directions etc., complete.</t>
  </si>
  <si>
    <t>(c)  All other members to be with 18mm MDF EXTERIOR GRADE Board and all exposed faces of the table to have 1mm  Gloss Laminate as specified above to be used.</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</si>
</sst>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_(* #,##0_);_(* \(#,##0\);_(* &quot;-&quot;??_);_(@_)"/>
    <numFmt numFmtId="174" formatCode="0.00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00000"/>
    <numFmt numFmtId="181" formatCode="#,##0.0"/>
    <numFmt numFmtId="182" formatCode="#,##0.000"/>
    <numFmt numFmtId="183" formatCode="_(* #,##0.0_);_(* \(#,##0.0\);_(* &quot;-&quot;??_);_(@_)"/>
    <numFmt numFmtId="184" formatCode="0.000000"/>
  </numFmts>
  <fonts count="65">
    <font>
      <sz val="10"/>
      <name val="Arial"/>
      <family val="0"/>
    </font>
    <font>
      <u val="single"/>
      <sz val="10"/>
      <color indexed="12"/>
      <name val="Arial"/>
      <family val="2"/>
    </font>
    <font>
      <u val="single"/>
      <sz val="10"/>
      <color indexed="36"/>
      <name val="Arial"/>
      <family val="2"/>
    </font>
    <font>
      <b/>
      <sz val="11"/>
      <name val="Book Antiqua"/>
      <family val="1"/>
    </font>
    <font>
      <b/>
      <sz val="12"/>
      <name val="Book Antiqua"/>
      <family val="1"/>
    </font>
    <font>
      <sz val="12"/>
      <name val="Book Antiqua"/>
      <family val="1"/>
    </font>
    <font>
      <sz val="11"/>
      <name val="Times New Roman"/>
      <family val="1"/>
    </font>
    <font>
      <sz val="10"/>
      <name val="Helv"/>
      <family val="0"/>
    </font>
    <font>
      <b/>
      <u val="single"/>
      <sz val="12"/>
      <name val="Book Antiqua"/>
      <family val="1"/>
    </font>
    <font>
      <b/>
      <sz val="13"/>
      <name val="Book Antiqua"/>
      <family val="1"/>
    </font>
    <font>
      <sz val="10"/>
      <color indexed="8"/>
      <name val="Arial"/>
      <family val="2"/>
    </font>
    <font>
      <b/>
      <sz val="14"/>
      <name val="Book Antiqua"/>
      <family val="1"/>
    </font>
    <font>
      <sz val="12"/>
      <name val="Arial"/>
      <family val="2"/>
    </font>
    <font>
      <b/>
      <u val="single"/>
      <sz val="14"/>
      <name val="Book Antiqua"/>
      <family val="1"/>
    </font>
    <font>
      <b/>
      <sz val="12"/>
      <name val="Arial Narrow"/>
      <family val="2"/>
    </font>
    <font>
      <b/>
      <u val="single"/>
      <sz val="12"/>
      <name val="Arial Narrow"/>
      <family val="2"/>
    </font>
    <font>
      <sz val="12"/>
      <name val="Arial Narrow"/>
      <family val="2"/>
    </font>
    <font>
      <b/>
      <sz val="12"/>
      <color indexed="8"/>
      <name val="Arial Narrow"/>
      <family val="2"/>
    </font>
    <font>
      <sz val="12"/>
      <color indexed="8"/>
      <name val="Arial Narrow"/>
      <family val="2"/>
    </font>
    <font>
      <sz val="11"/>
      <name val="Book Antiqua"/>
      <family val="1"/>
    </font>
    <font>
      <b/>
      <u val="single"/>
      <sz val="14"/>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Book Antiqua"/>
      <family val="1"/>
    </font>
    <font>
      <b/>
      <sz val="12"/>
      <color indexed="10"/>
      <name val="Book Antiqua"/>
      <family val="1"/>
    </font>
    <font>
      <b/>
      <sz val="13"/>
      <color indexed="10"/>
      <name val="Book Antiqua"/>
      <family val="1"/>
    </font>
    <font>
      <sz val="12"/>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Book Antiqua"/>
      <family val="1"/>
    </font>
    <font>
      <b/>
      <sz val="12"/>
      <color rgb="FFFF0000"/>
      <name val="Book Antiqua"/>
      <family val="1"/>
    </font>
    <font>
      <b/>
      <sz val="13"/>
      <color rgb="FFFF0000"/>
      <name val="Book Antiqua"/>
      <family val="1"/>
    </font>
    <font>
      <sz val="12"/>
      <color rgb="FFFF0000"/>
      <name val="Arial Narrow"/>
      <family val="2"/>
    </font>
    <font>
      <sz val="12"/>
      <color theme="1"/>
      <name val="Arial Narrow"/>
      <family val="2"/>
    </font>
    <font>
      <b/>
      <sz val="12"/>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 fillId="0" borderId="0">
      <alignment/>
      <protection/>
    </xf>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64">
    <xf numFmtId="0" fontId="0" fillId="0" borderId="0" xfId="0" applyAlignment="1">
      <alignment/>
    </xf>
    <xf numFmtId="0" fontId="3" fillId="0" borderId="10" xfId="0" applyFont="1" applyFill="1" applyBorder="1" applyAlignment="1">
      <alignment horizontal="center" vertical="top" wrapText="1"/>
    </xf>
    <xf numFmtId="3" fontId="4" fillId="0" borderId="10" xfId="0" applyNumberFormat="1" applyFont="1" applyFill="1" applyBorder="1" applyAlignment="1">
      <alignment horizontal="right" vertical="top" wrapText="1"/>
    </xf>
    <xf numFmtId="0" fontId="4" fillId="0" borderId="0" xfId="62" applyFont="1" applyFill="1" applyBorder="1" applyAlignment="1">
      <alignment vertical="top"/>
      <protection/>
    </xf>
    <xf numFmtId="0" fontId="8" fillId="0" borderId="10" xfId="62" applyFont="1" applyFill="1" applyBorder="1" applyAlignment="1">
      <alignment horizontal="right" vertical="top" wrapText="1"/>
      <protection/>
    </xf>
    <xf numFmtId="0" fontId="8" fillId="0" borderId="10" xfId="62" applyFont="1" applyFill="1" applyBorder="1" applyAlignment="1">
      <alignment horizontal="left" vertical="top" wrapText="1"/>
      <protection/>
    </xf>
    <xf numFmtId="0" fontId="5" fillId="0" borderId="10" xfId="62" applyFont="1" applyFill="1" applyBorder="1" applyAlignment="1">
      <alignment horizontal="center" vertical="top"/>
      <protection/>
    </xf>
    <xf numFmtId="0" fontId="8" fillId="0" borderId="10" xfId="62" applyFont="1" applyFill="1" applyBorder="1" applyAlignment="1">
      <alignment horizontal="center" vertical="top" wrapText="1"/>
      <protection/>
    </xf>
    <xf numFmtId="0" fontId="4" fillId="0" borderId="10" xfId="62" applyFont="1" applyFill="1" applyBorder="1" applyAlignment="1">
      <alignment horizontal="right" vertical="top" wrapText="1"/>
      <protection/>
    </xf>
    <xf numFmtId="0" fontId="4" fillId="0" borderId="10" xfId="62" applyFont="1" applyFill="1" applyBorder="1" applyAlignment="1">
      <alignment horizontal="left" vertical="top" wrapText="1"/>
      <protection/>
    </xf>
    <xf numFmtId="0" fontId="4" fillId="0" borderId="10" xfId="62" applyFont="1" applyFill="1" applyBorder="1" applyAlignment="1">
      <alignment vertical="top"/>
      <protection/>
    </xf>
    <xf numFmtId="173" fontId="4" fillId="0" borderId="10" xfId="45" applyNumberFormat="1" applyFont="1" applyFill="1" applyBorder="1" applyAlignment="1">
      <alignment horizontal="center" vertical="top" wrapText="1"/>
    </xf>
    <xf numFmtId="0" fontId="4" fillId="0" borderId="10" xfId="62" applyFont="1" applyFill="1" applyBorder="1" applyAlignment="1">
      <alignment horizontal="center" vertical="top" wrapText="1"/>
      <protection/>
    </xf>
    <xf numFmtId="0" fontId="5" fillId="0" borderId="10" xfId="62" applyFont="1" applyFill="1" applyBorder="1" applyAlignment="1">
      <alignment vertical="top"/>
      <protection/>
    </xf>
    <xf numFmtId="172" fontId="5" fillId="0" borderId="10" xfId="62" applyNumberFormat="1" applyFont="1" applyFill="1" applyBorder="1" applyAlignment="1">
      <alignment vertical="top"/>
      <protection/>
    </xf>
    <xf numFmtId="3" fontId="5" fillId="0" borderId="10" xfId="62" applyNumberFormat="1" applyFont="1" applyFill="1" applyBorder="1" applyAlignment="1">
      <alignment vertical="top"/>
      <protection/>
    </xf>
    <xf numFmtId="0" fontId="5" fillId="0" borderId="10" xfId="62" applyFont="1" applyFill="1" applyBorder="1" applyAlignment="1">
      <alignment horizontal="left" vertical="top" wrapText="1"/>
      <protection/>
    </xf>
    <xf numFmtId="9" fontId="5" fillId="0" borderId="10" xfId="62" applyNumberFormat="1" applyFont="1" applyFill="1" applyBorder="1" applyAlignment="1">
      <alignment horizontal="center" vertical="top" wrapText="1"/>
      <protection/>
    </xf>
    <xf numFmtId="1" fontId="5" fillId="0" borderId="10" xfId="62" applyNumberFormat="1" applyFont="1" applyFill="1" applyBorder="1" applyAlignment="1">
      <alignment horizontal="right" vertical="top" wrapText="1"/>
      <protection/>
    </xf>
    <xf numFmtId="9" fontId="4" fillId="0" borderId="10" xfId="75" applyFont="1" applyFill="1" applyBorder="1" applyAlignment="1">
      <alignment vertical="top"/>
    </xf>
    <xf numFmtId="172" fontId="4" fillId="0" borderId="10" xfId="62" applyNumberFormat="1" applyFont="1" applyFill="1" applyBorder="1" applyAlignment="1">
      <alignment vertical="top"/>
      <protection/>
    </xf>
    <xf numFmtId="3" fontId="4" fillId="0" borderId="10" xfId="62" applyNumberFormat="1" applyFont="1" applyFill="1" applyBorder="1" applyAlignment="1">
      <alignment vertical="top"/>
      <protection/>
    </xf>
    <xf numFmtId="0" fontId="5" fillId="0" borderId="10" xfId="62" applyFont="1" applyFill="1" applyBorder="1" applyAlignment="1">
      <alignment horizontal="right" vertical="top"/>
      <protection/>
    </xf>
    <xf numFmtId="173" fontId="5" fillId="0" borderId="10" xfId="45" applyNumberFormat="1" applyFont="1" applyFill="1" applyBorder="1" applyAlignment="1">
      <alignment vertical="top" wrapText="1"/>
    </xf>
    <xf numFmtId="0" fontId="5" fillId="0" borderId="10" xfId="62" applyFont="1" applyFill="1" applyBorder="1" applyAlignment="1">
      <alignment vertical="top" wrapText="1"/>
      <protection/>
    </xf>
    <xf numFmtId="0" fontId="4" fillId="0" borderId="10" xfId="62" applyFont="1" applyFill="1" applyBorder="1" applyAlignment="1">
      <alignment vertical="top" wrapText="1"/>
      <protection/>
    </xf>
    <xf numFmtId="3" fontId="4" fillId="0" borderId="10" xfId="62" applyNumberFormat="1" applyFont="1" applyFill="1" applyBorder="1" applyAlignment="1">
      <alignment vertical="top" wrapText="1"/>
      <protection/>
    </xf>
    <xf numFmtId="3" fontId="5" fillId="0" borderId="10" xfId="62" applyNumberFormat="1" applyFont="1" applyFill="1" applyBorder="1" applyAlignment="1">
      <alignment vertical="top" wrapText="1"/>
      <protection/>
    </xf>
    <xf numFmtId="2" fontId="5" fillId="0" borderId="10" xfId="62" applyNumberFormat="1" applyFont="1" applyFill="1" applyBorder="1" applyAlignment="1">
      <alignment vertical="top" wrapText="1"/>
      <protection/>
    </xf>
    <xf numFmtId="1" fontId="5" fillId="0" borderId="10" xfId="62" applyNumberFormat="1" applyFont="1" applyFill="1" applyBorder="1" applyAlignment="1">
      <alignment vertical="top"/>
      <protection/>
    </xf>
    <xf numFmtId="0" fontId="5" fillId="0" borderId="10" xfId="70" applyFont="1" applyFill="1" applyBorder="1" applyAlignment="1">
      <alignment vertical="top" wrapText="1"/>
      <protection/>
    </xf>
    <xf numFmtId="0" fontId="5" fillId="0" borderId="10" xfId="62" applyFont="1" applyFill="1" applyBorder="1" applyAlignment="1">
      <alignment horizontal="justify" vertical="top" wrapText="1"/>
      <protection/>
    </xf>
    <xf numFmtId="0" fontId="5" fillId="0" borderId="10" xfId="62" applyFont="1" applyFill="1" applyBorder="1" applyAlignment="1" quotePrefix="1">
      <alignment vertical="top" wrapText="1"/>
      <protection/>
    </xf>
    <xf numFmtId="0" fontId="5" fillId="0" borderId="10" xfId="62" applyFont="1" applyFill="1" applyBorder="1" applyAlignment="1">
      <alignment horizontal="center" vertical="top" wrapText="1"/>
      <protection/>
    </xf>
    <xf numFmtId="0" fontId="5" fillId="0" borderId="10" xfId="62" applyFont="1" applyFill="1" applyBorder="1" applyAlignment="1">
      <alignment horizontal="right" vertical="top" wrapText="1"/>
      <protection/>
    </xf>
    <xf numFmtId="175" fontId="5" fillId="0" borderId="10" xfId="62" applyNumberFormat="1" applyFont="1" applyFill="1" applyBorder="1" applyAlignment="1">
      <alignment vertical="top"/>
      <protection/>
    </xf>
    <xf numFmtId="2" fontId="5" fillId="0" borderId="10" xfId="62" applyNumberFormat="1" applyFont="1" applyFill="1" applyBorder="1" applyAlignment="1">
      <alignment vertical="top"/>
      <protection/>
    </xf>
    <xf numFmtId="172" fontId="4" fillId="0" borderId="10" xfId="62" applyNumberFormat="1" applyFont="1" applyFill="1" applyBorder="1" applyAlignment="1">
      <alignment vertical="top" wrapText="1"/>
      <protection/>
    </xf>
    <xf numFmtId="3" fontId="4" fillId="0" borderId="10" xfId="62" applyNumberFormat="1" applyFont="1" applyFill="1" applyBorder="1" applyAlignment="1">
      <alignment horizontal="right" vertical="top" wrapText="1"/>
      <protection/>
    </xf>
    <xf numFmtId="0" fontId="4" fillId="0" borderId="10" xfId="62" applyFont="1" applyFill="1" applyBorder="1" applyAlignment="1">
      <alignment horizontal="right" vertical="top"/>
      <protection/>
    </xf>
    <xf numFmtId="0" fontId="4" fillId="0" borderId="10" xfId="62" applyFont="1" applyFill="1" applyBorder="1" applyAlignment="1">
      <alignment horizontal="justify" vertical="top" wrapText="1"/>
      <protection/>
    </xf>
    <xf numFmtId="2" fontId="4" fillId="0" borderId="10" xfId="62" applyNumberFormat="1" applyFont="1" applyFill="1" applyBorder="1" applyAlignment="1">
      <alignment vertical="top" wrapText="1"/>
      <protection/>
    </xf>
    <xf numFmtId="2" fontId="5" fillId="0" borderId="10" xfId="70" applyNumberFormat="1" applyFont="1" applyFill="1" applyBorder="1" applyAlignment="1">
      <alignment vertical="top" wrapText="1"/>
      <protection/>
    </xf>
    <xf numFmtId="172" fontId="5" fillId="0" borderId="10" xfId="70" applyNumberFormat="1" applyFont="1" applyFill="1" applyBorder="1" applyAlignment="1">
      <alignment horizontal="right" vertical="top" wrapText="1"/>
      <protection/>
    </xf>
    <xf numFmtId="3" fontId="5" fillId="0" borderId="10" xfId="70" applyNumberFormat="1" applyFont="1" applyFill="1" applyBorder="1" applyAlignment="1">
      <alignment vertical="top"/>
      <protection/>
    </xf>
    <xf numFmtId="172" fontId="5" fillId="0" borderId="10" xfId="62" applyNumberFormat="1" applyFont="1" applyFill="1" applyBorder="1" applyAlignment="1">
      <alignment vertical="top" wrapText="1"/>
      <protection/>
    </xf>
    <xf numFmtId="3" fontId="5" fillId="0" borderId="10" xfId="62" applyNumberFormat="1" applyFont="1" applyFill="1" applyBorder="1" applyAlignment="1">
      <alignment horizontal="right" vertical="top" wrapText="1"/>
      <protection/>
    </xf>
    <xf numFmtId="0" fontId="4" fillId="0" borderId="10" xfId="70" applyFont="1" applyFill="1" applyBorder="1" applyAlignment="1">
      <alignment vertical="top" wrapText="1"/>
      <protection/>
    </xf>
    <xf numFmtId="172" fontId="5" fillId="0" borderId="10" xfId="70" applyNumberFormat="1" applyFont="1" applyFill="1" applyBorder="1" applyAlignment="1">
      <alignment horizontal="right" vertical="top"/>
      <protection/>
    </xf>
    <xf numFmtId="2" fontId="5" fillId="0" borderId="10" xfId="70" applyNumberFormat="1" applyFont="1" applyFill="1" applyBorder="1" applyAlignment="1">
      <alignment horizontal="right" vertical="top" wrapText="1"/>
      <protection/>
    </xf>
    <xf numFmtId="1" fontId="5" fillId="0" borderId="10" xfId="70" applyNumberFormat="1" applyFont="1" applyFill="1" applyBorder="1" applyAlignment="1">
      <alignment vertical="top" wrapText="1"/>
      <protection/>
    </xf>
    <xf numFmtId="3" fontId="4" fillId="0" borderId="10" xfId="70" applyNumberFormat="1" applyFont="1" applyFill="1" applyBorder="1" applyAlignment="1">
      <alignment horizontal="right" vertical="top" wrapText="1"/>
      <protection/>
    </xf>
    <xf numFmtId="0" fontId="5" fillId="0" borderId="10" xfId="70" applyFont="1" applyFill="1" applyBorder="1" applyAlignment="1">
      <alignment horizontal="center" vertical="top" wrapText="1"/>
      <protection/>
    </xf>
    <xf numFmtId="172" fontId="5" fillId="0" borderId="10" xfId="62" applyNumberFormat="1" applyFont="1" applyFill="1" applyBorder="1" applyAlignment="1">
      <alignment horizontal="right" vertical="top" wrapText="1"/>
      <protection/>
    </xf>
    <xf numFmtId="172" fontId="4" fillId="0" borderId="10" xfId="62" applyNumberFormat="1" applyFont="1" applyFill="1" applyBorder="1" applyAlignment="1">
      <alignment horizontal="right" vertical="top"/>
      <protection/>
    </xf>
    <xf numFmtId="173" fontId="9" fillId="0" borderId="10" xfId="45" applyNumberFormat="1" applyFont="1" applyFill="1" applyBorder="1" applyAlignment="1">
      <alignment horizontal="right" vertical="top"/>
    </xf>
    <xf numFmtId="172" fontId="4" fillId="0" borderId="10" xfId="70" applyNumberFormat="1" applyFont="1" applyFill="1" applyBorder="1" applyAlignment="1">
      <alignment vertical="top" wrapText="1"/>
      <protection/>
    </xf>
    <xf numFmtId="0" fontId="4" fillId="0" borderId="10" xfId="70" applyFont="1" applyFill="1" applyBorder="1" applyAlignment="1">
      <alignment vertical="top"/>
      <protection/>
    </xf>
    <xf numFmtId="2" fontId="4" fillId="0" borderId="10" xfId="70" applyNumberFormat="1" applyFont="1" applyFill="1" applyBorder="1" applyAlignment="1">
      <alignment horizontal="right" vertical="top"/>
      <protection/>
    </xf>
    <xf numFmtId="172" fontId="4" fillId="0" borderId="10" xfId="70" applyNumberFormat="1" applyFont="1" applyFill="1" applyBorder="1" applyAlignment="1">
      <alignment horizontal="right" vertical="top"/>
      <protection/>
    </xf>
    <xf numFmtId="0" fontId="5" fillId="0" borderId="10" xfId="70" applyFont="1" applyFill="1" applyBorder="1" applyAlignment="1">
      <alignment vertical="top"/>
      <protection/>
    </xf>
    <xf numFmtId="0" fontId="5" fillId="0" borderId="10" xfId="64" applyFont="1" applyFill="1" applyBorder="1" applyAlignment="1">
      <alignment horizontal="justify" vertical="top"/>
      <protection/>
    </xf>
    <xf numFmtId="3" fontId="5" fillId="0" borderId="10" xfId="63" applyNumberFormat="1" applyFont="1" applyFill="1" applyBorder="1" applyAlignment="1">
      <alignment vertical="top"/>
      <protection/>
    </xf>
    <xf numFmtId="2" fontId="5" fillId="0" borderId="10" xfId="62" applyNumberFormat="1" applyFont="1" applyFill="1" applyBorder="1" applyAlignment="1">
      <alignment horizontal="right" vertical="top" wrapText="1"/>
      <protection/>
    </xf>
    <xf numFmtId="4" fontId="5" fillId="0" borderId="10" xfId="62" applyNumberFormat="1" applyFont="1" applyFill="1" applyBorder="1" applyAlignment="1">
      <alignment horizontal="right" vertical="top" wrapText="1"/>
      <protection/>
    </xf>
    <xf numFmtId="2" fontId="5" fillId="0" borderId="10" xfId="63" applyNumberFormat="1" applyFont="1" applyFill="1" applyBorder="1" applyAlignment="1">
      <alignment horizontal="right" vertical="top" shrinkToFit="1"/>
      <protection/>
    </xf>
    <xf numFmtId="0" fontId="5" fillId="0" borderId="10" xfId="63" applyFont="1" applyFill="1" applyBorder="1" applyAlignment="1">
      <alignment horizontal="left" vertical="top" wrapText="1"/>
      <protection/>
    </xf>
    <xf numFmtId="0" fontId="4" fillId="0" borderId="10" xfId="63" applyFont="1" applyFill="1" applyBorder="1" applyAlignment="1">
      <alignment vertical="top" wrapText="1"/>
      <protection/>
    </xf>
    <xf numFmtId="173" fontId="5" fillId="0" borderId="10" xfId="45" applyNumberFormat="1" applyFont="1" applyFill="1" applyBorder="1" applyAlignment="1">
      <alignment horizontal="right" vertical="top"/>
    </xf>
    <xf numFmtId="173" fontId="4" fillId="0" borderId="10" xfId="45" applyNumberFormat="1" applyFont="1" applyFill="1" applyBorder="1" applyAlignment="1">
      <alignment horizontal="right" vertical="top"/>
    </xf>
    <xf numFmtId="0" fontId="5" fillId="0" borderId="10" xfId="64" applyFont="1" applyFill="1" applyBorder="1" applyAlignment="1">
      <alignment vertical="top" wrapText="1"/>
      <protection/>
    </xf>
    <xf numFmtId="2" fontId="5" fillId="0" borderId="10" xfId="63" applyNumberFormat="1" applyFont="1" applyFill="1" applyBorder="1" applyAlignment="1">
      <alignment vertical="top"/>
      <protection/>
    </xf>
    <xf numFmtId="181" fontId="4" fillId="0" borderId="10" xfId="62" applyNumberFormat="1" applyFont="1" applyFill="1" applyBorder="1" applyAlignment="1">
      <alignment vertical="top" wrapText="1"/>
      <protection/>
    </xf>
    <xf numFmtId="181" fontId="5" fillId="0" borderId="10" xfId="62" applyNumberFormat="1" applyFont="1" applyFill="1" applyBorder="1" applyAlignment="1">
      <alignment vertical="top"/>
      <protection/>
    </xf>
    <xf numFmtId="0" fontId="5" fillId="0" borderId="10" xfId="64" applyFont="1" applyFill="1" applyBorder="1" applyAlignment="1">
      <alignment vertical="top"/>
      <protection/>
    </xf>
    <xf numFmtId="2" fontId="4" fillId="0" borderId="10" xfId="64" applyNumberFormat="1" applyFont="1" applyFill="1" applyBorder="1" applyAlignment="1">
      <alignment horizontal="right" vertical="top" wrapText="1"/>
      <protection/>
    </xf>
    <xf numFmtId="0" fontId="5" fillId="0" borderId="10" xfId="64" applyFont="1" applyFill="1" applyBorder="1" applyAlignment="1">
      <alignment horizontal="justify" vertical="top" wrapText="1"/>
      <protection/>
    </xf>
    <xf numFmtId="172" fontId="5" fillId="0" borderId="10" xfId="64" applyNumberFormat="1" applyFont="1" applyFill="1" applyBorder="1" applyAlignment="1">
      <alignment vertical="top"/>
      <protection/>
    </xf>
    <xf numFmtId="4" fontId="5" fillId="0" borderId="10" xfId="64" applyNumberFormat="1" applyFont="1" applyFill="1" applyBorder="1" applyAlignment="1">
      <alignment vertical="top" wrapText="1"/>
      <protection/>
    </xf>
    <xf numFmtId="2" fontId="4" fillId="0" borderId="10" xfId="64" applyNumberFormat="1" applyFont="1" applyFill="1" applyBorder="1" applyAlignment="1">
      <alignment vertical="top"/>
      <protection/>
    </xf>
    <xf numFmtId="0" fontId="5" fillId="0" borderId="10" xfId="64" applyFont="1" applyFill="1" applyBorder="1" applyAlignment="1">
      <alignment horizontal="center" vertical="top"/>
      <protection/>
    </xf>
    <xf numFmtId="2" fontId="5" fillId="0" borderId="10" xfId="64" applyNumberFormat="1" applyFont="1" applyFill="1" applyBorder="1" applyAlignment="1">
      <alignment vertical="top"/>
      <protection/>
    </xf>
    <xf numFmtId="0" fontId="5" fillId="0" borderId="10" xfId="64" applyFont="1" applyFill="1" applyBorder="1" applyAlignment="1">
      <alignment horizontal="right" vertical="top"/>
      <protection/>
    </xf>
    <xf numFmtId="2" fontId="5" fillId="0" borderId="10" xfId="64" applyNumberFormat="1" applyFont="1" applyFill="1" applyBorder="1" applyAlignment="1">
      <alignment horizontal="right" vertical="top"/>
      <protection/>
    </xf>
    <xf numFmtId="2" fontId="5" fillId="0" borderId="10" xfId="64" applyNumberFormat="1" applyFont="1" applyFill="1" applyBorder="1" applyAlignment="1" quotePrefix="1">
      <alignment horizontal="center" vertical="top"/>
      <protection/>
    </xf>
    <xf numFmtId="2" fontId="5" fillId="0" borderId="10" xfId="64" applyNumberFormat="1" applyFont="1" applyFill="1" applyBorder="1" applyAlignment="1">
      <alignment horizontal="center" vertical="top"/>
      <protection/>
    </xf>
    <xf numFmtId="1" fontId="5" fillId="0" borderId="10" xfId="64" applyNumberFormat="1" applyFont="1" applyFill="1" applyBorder="1" applyAlignment="1">
      <alignment vertical="top"/>
      <protection/>
    </xf>
    <xf numFmtId="1" fontId="5" fillId="0" borderId="10" xfId="70" applyNumberFormat="1" applyFont="1" applyFill="1" applyBorder="1" applyAlignment="1">
      <alignment vertical="top"/>
      <protection/>
    </xf>
    <xf numFmtId="1" fontId="5" fillId="0" borderId="10" xfId="45" applyNumberFormat="1" applyFont="1" applyFill="1" applyBorder="1" applyAlignment="1">
      <alignment vertical="top" wrapText="1"/>
    </xf>
    <xf numFmtId="0" fontId="4" fillId="0" borderId="10" xfId="62" applyFont="1" applyFill="1" applyBorder="1" applyAlignment="1">
      <alignment horizontal="left" vertical="top"/>
      <protection/>
    </xf>
    <xf numFmtId="172" fontId="5" fillId="0" borderId="10" xfId="62" applyNumberFormat="1" applyFont="1" applyFill="1" applyBorder="1" applyAlignment="1">
      <alignment horizontal="right" vertical="top"/>
      <protection/>
    </xf>
    <xf numFmtId="3" fontId="5" fillId="0" borderId="10" xfId="64" applyNumberFormat="1" applyFont="1" applyFill="1" applyBorder="1" applyAlignment="1">
      <alignment vertical="top"/>
      <protection/>
    </xf>
    <xf numFmtId="4" fontId="5" fillId="0" borderId="10" xfId="62" applyNumberFormat="1" applyFont="1" applyFill="1" applyBorder="1" applyAlignment="1">
      <alignment vertical="top"/>
      <protection/>
    </xf>
    <xf numFmtId="2" fontId="5" fillId="0" borderId="10" xfId="62" applyNumberFormat="1" applyFont="1" applyFill="1" applyBorder="1" applyAlignment="1">
      <alignment horizontal="right" vertical="top"/>
      <protection/>
    </xf>
    <xf numFmtId="0" fontId="5" fillId="0" borderId="10" xfId="64" applyFont="1" applyFill="1" applyBorder="1" applyAlignment="1">
      <alignment horizontal="center" vertical="top" wrapText="1"/>
      <protection/>
    </xf>
    <xf numFmtId="1" fontId="5" fillId="0" borderId="10" xfId="64" applyNumberFormat="1" applyFont="1" applyFill="1" applyBorder="1" applyAlignment="1">
      <alignment horizontal="right" vertical="top" wrapText="1"/>
      <protection/>
    </xf>
    <xf numFmtId="172" fontId="5" fillId="0" borderId="10" xfId="64" applyNumberFormat="1" applyFont="1" applyFill="1" applyBorder="1" applyAlignment="1">
      <alignment horizontal="right" vertical="top" wrapText="1"/>
      <protection/>
    </xf>
    <xf numFmtId="3" fontId="5" fillId="0" borderId="10" xfId="64" applyNumberFormat="1" applyFont="1" applyFill="1" applyBorder="1" applyAlignment="1">
      <alignment horizontal="right" vertical="top" wrapText="1"/>
      <protection/>
    </xf>
    <xf numFmtId="0" fontId="5" fillId="0" borderId="10" xfId="64" applyFont="1" applyFill="1" applyBorder="1" applyAlignment="1">
      <alignment horizontal="left" vertical="top" wrapText="1"/>
      <protection/>
    </xf>
    <xf numFmtId="0" fontId="4" fillId="0" borderId="10" xfId="64" applyFont="1" applyFill="1" applyBorder="1" applyAlignment="1">
      <alignment horizontal="left" vertical="top" wrapText="1"/>
      <protection/>
    </xf>
    <xf numFmtId="4" fontId="5" fillId="0" borderId="10" xfId="62" applyNumberFormat="1" applyFont="1" applyFill="1" applyBorder="1" applyAlignment="1">
      <alignment vertical="top" wrapText="1"/>
      <protection/>
    </xf>
    <xf numFmtId="3" fontId="9" fillId="0" borderId="10" xfId="64" applyNumberFormat="1" applyFont="1" applyFill="1" applyBorder="1" applyAlignment="1">
      <alignment vertical="top"/>
      <protection/>
    </xf>
    <xf numFmtId="0" fontId="4" fillId="0" borderId="10" xfId="64" applyFont="1" applyFill="1" applyBorder="1" applyAlignment="1">
      <alignment vertical="top" wrapText="1"/>
      <protection/>
    </xf>
    <xf numFmtId="3" fontId="4" fillId="0" borderId="10" xfId="64" applyNumberFormat="1" applyFont="1" applyFill="1" applyBorder="1" applyAlignment="1">
      <alignment vertical="top" wrapText="1"/>
      <protection/>
    </xf>
    <xf numFmtId="0" fontId="4" fillId="0" borderId="10" xfId="64" applyFont="1" applyFill="1" applyBorder="1" applyAlignment="1">
      <alignment vertical="top"/>
      <protection/>
    </xf>
    <xf numFmtId="172" fontId="5" fillId="0" borderId="10" xfId="64" applyNumberFormat="1" applyFont="1" applyFill="1" applyBorder="1" applyAlignment="1">
      <alignment horizontal="right" vertical="top"/>
      <protection/>
    </xf>
    <xf numFmtId="175" fontId="5" fillId="0" borderId="10" xfId="64" applyNumberFormat="1" applyFont="1" applyFill="1" applyBorder="1" applyAlignment="1">
      <alignment vertical="top" wrapText="1"/>
      <protection/>
    </xf>
    <xf numFmtId="2" fontId="5" fillId="0" borderId="10" xfId="64" applyNumberFormat="1" applyFont="1" applyFill="1" applyBorder="1" applyAlignment="1">
      <alignment vertical="top" wrapText="1"/>
      <protection/>
    </xf>
    <xf numFmtId="0" fontId="5" fillId="0" borderId="10" xfId="64" applyFont="1" applyFill="1" applyBorder="1" applyAlignment="1" quotePrefix="1">
      <alignment vertical="top" wrapText="1"/>
      <protection/>
    </xf>
    <xf numFmtId="175" fontId="5" fillId="0" borderId="10" xfId="62" applyNumberFormat="1" applyFont="1" applyFill="1" applyBorder="1" applyAlignment="1">
      <alignment vertical="top" wrapText="1"/>
      <protection/>
    </xf>
    <xf numFmtId="172" fontId="5" fillId="0" borderId="10" xfId="64" applyNumberFormat="1" applyFont="1" applyFill="1" applyBorder="1" applyAlignment="1">
      <alignment vertical="top" wrapText="1"/>
      <protection/>
    </xf>
    <xf numFmtId="0" fontId="9" fillId="0" borderId="10" xfId="64" applyFont="1" applyFill="1" applyBorder="1" applyAlignment="1">
      <alignment horizontal="right" vertical="top" wrapText="1"/>
      <protection/>
    </xf>
    <xf numFmtId="3" fontId="9" fillId="0" borderId="10" xfId="62" applyNumberFormat="1" applyFont="1" applyFill="1" applyBorder="1" applyAlignment="1">
      <alignment vertical="top" wrapText="1"/>
      <protection/>
    </xf>
    <xf numFmtId="0" fontId="5" fillId="0" borderId="10" xfId="0" applyFont="1" applyFill="1" applyBorder="1" applyAlignment="1">
      <alignment vertical="top" wrapText="1"/>
    </xf>
    <xf numFmtId="172" fontId="5" fillId="0" borderId="10" xfId="0" applyNumberFormat="1" applyFont="1" applyFill="1" applyBorder="1" applyAlignment="1">
      <alignment vertical="top"/>
    </xf>
    <xf numFmtId="3" fontId="5" fillId="0" borderId="10" xfId="0" applyNumberFormat="1" applyFont="1" applyFill="1" applyBorder="1" applyAlignment="1">
      <alignment vertical="top"/>
    </xf>
    <xf numFmtId="0" fontId="5" fillId="0" borderId="10" xfId="0" applyFont="1" applyFill="1" applyBorder="1" applyAlignment="1">
      <alignment vertical="top"/>
    </xf>
    <xf numFmtId="2" fontId="5" fillId="0" borderId="10" xfId="0" applyNumberFormat="1" applyFont="1" applyFill="1" applyBorder="1" applyAlignment="1">
      <alignment vertical="top" wrapText="1"/>
    </xf>
    <xf numFmtId="172" fontId="5" fillId="0" borderId="10" xfId="0" applyNumberFormat="1" applyFont="1" applyFill="1" applyBorder="1" applyAlignment="1">
      <alignment horizontal="right" vertical="top" wrapText="1"/>
    </xf>
    <xf numFmtId="172" fontId="9" fillId="0" borderId="10" xfId="62" applyNumberFormat="1" applyFont="1" applyFill="1" applyBorder="1" applyAlignment="1">
      <alignment horizontal="right" vertical="top"/>
      <protection/>
    </xf>
    <xf numFmtId="0" fontId="4" fillId="0" borderId="10" xfId="0" applyFont="1" applyFill="1" applyBorder="1" applyAlignment="1">
      <alignment vertical="top" wrapText="1"/>
    </xf>
    <xf numFmtId="3" fontId="5" fillId="0" borderId="10" xfId="0" applyNumberFormat="1" applyFont="1" applyFill="1" applyBorder="1" applyAlignment="1">
      <alignment vertical="top" wrapText="1"/>
    </xf>
    <xf numFmtId="3" fontId="4" fillId="0" borderId="10" xfId="0" applyNumberFormat="1" applyFont="1" applyFill="1" applyBorder="1" applyAlignment="1">
      <alignment vertical="top"/>
    </xf>
    <xf numFmtId="2" fontId="4" fillId="0" borderId="10" xfId="0" applyNumberFormat="1" applyFont="1" applyFill="1" applyBorder="1" applyAlignment="1">
      <alignment vertical="top" wrapText="1"/>
    </xf>
    <xf numFmtId="172" fontId="5" fillId="0" borderId="10" xfId="0" applyNumberFormat="1" applyFont="1" applyFill="1" applyBorder="1" applyAlignment="1">
      <alignment horizontal="right" vertical="top"/>
    </xf>
    <xf numFmtId="174" fontId="5" fillId="0" borderId="10" xfId="0" applyNumberFormat="1" applyFont="1" applyFill="1" applyBorder="1" applyAlignment="1">
      <alignment horizontal="right" vertical="top" wrapText="1"/>
    </xf>
    <xf numFmtId="181" fontId="5" fillId="0" borderId="10" xfId="0" applyNumberFormat="1" applyFont="1" applyFill="1" applyBorder="1" applyAlignment="1">
      <alignment vertical="top"/>
    </xf>
    <xf numFmtId="4" fontId="5" fillId="0" borderId="10" xfId="0" applyNumberFormat="1" applyFont="1" applyFill="1" applyBorder="1" applyAlignment="1">
      <alignment vertical="top"/>
    </xf>
    <xf numFmtId="0" fontId="4" fillId="0" borderId="10" xfId="0" applyFont="1" applyFill="1" applyBorder="1" applyAlignment="1">
      <alignment vertical="top"/>
    </xf>
    <xf numFmtId="1" fontId="4" fillId="0" borderId="10" xfId="62" applyNumberFormat="1" applyFont="1" applyFill="1" applyBorder="1" applyAlignment="1">
      <alignment horizontal="center" vertical="top" wrapText="1"/>
      <protection/>
    </xf>
    <xf numFmtId="1" fontId="5" fillId="0" borderId="10" xfId="62" applyNumberFormat="1" applyFont="1" applyFill="1" applyBorder="1" applyAlignment="1">
      <alignment horizontal="center" vertical="top" wrapText="1"/>
      <protection/>
    </xf>
    <xf numFmtId="1" fontId="5" fillId="0" borderId="10" xfId="0" applyNumberFormat="1" applyFont="1" applyFill="1" applyBorder="1" applyAlignment="1">
      <alignment horizontal="center" vertical="top"/>
    </xf>
    <xf numFmtId="1" fontId="4" fillId="0" borderId="10" xfId="62" applyNumberFormat="1" applyFont="1" applyFill="1" applyBorder="1" applyAlignment="1">
      <alignment horizontal="center" vertical="top"/>
      <protection/>
    </xf>
    <xf numFmtId="1" fontId="5" fillId="0" borderId="10" xfId="64" applyNumberFormat="1" applyFont="1" applyFill="1" applyBorder="1" applyAlignment="1">
      <alignment horizontal="center" vertical="top"/>
      <protection/>
    </xf>
    <xf numFmtId="0" fontId="11" fillId="0" borderId="0" xfId="62" applyFont="1" applyFill="1" applyBorder="1" applyAlignment="1">
      <alignment horizontal="center" vertical="top" wrapText="1"/>
      <protection/>
    </xf>
    <xf numFmtId="0" fontId="11" fillId="0" borderId="0" xfId="62" applyFont="1" applyFill="1" applyBorder="1" applyAlignment="1">
      <alignment vertical="top"/>
      <protection/>
    </xf>
    <xf numFmtId="0" fontId="11" fillId="0" borderId="0" xfId="62" applyFont="1" applyFill="1" applyBorder="1" applyAlignment="1">
      <alignment horizontal="center" vertical="top"/>
      <protection/>
    </xf>
    <xf numFmtId="0" fontId="13" fillId="0" borderId="0" xfId="62" applyFont="1" applyFill="1" applyBorder="1" applyAlignment="1">
      <alignment horizontal="center" vertical="top" wrapText="1"/>
      <protection/>
    </xf>
    <xf numFmtId="0" fontId="5" fillId="0" borderId="0" xfId="62" applyFont="1" applyFill="1" applyBorder="1" applyAlignment="1">
      <alignment vertical="top"/>
      <protection/>
    </xf>
    <xf numFmtId="0" fontId="5" fillId="0" borderId="10" xfId="62" applyFont="1" applyFill="1" applyBorder="1" applyAlignment="1">
      <alignment horizontal="justify" vertical="top"/>
      <protection/>
    </xf>
    <xf numFmtId="0" fontId="4" fillId="0" borderId="10" xfId="62" applyFont="1" applyFill="1" applyBorder="1" applyAlignment="1">
      <alignment horizontal="justify" vertical="top"/>
      <protection/>
    </xf>
    <xf numFmtId="0" fontId="5" fillId="0" borderId="0" xfId="0" applyFont="1" applyFill="1" applyBorder="1" applyAlignment="1">
      <alignment vertical="top"/>
    </xf>
    <xf numFmtId="0" fontId="12" fillId="0" borderId="0" xfId="0" applyFont="1" applyFill="1" applyBorder="1" applyAlignment="1">
      <alignment vertical="top"/>
    </xf>
    <xf numFmtId="172" fontId="5" fillId="0" borderId="0" xfId="62" applyNumberFormat="1" applyFont="1" applyFill="1" applyBorder="1" applyAlignment="1">
      <alignment vertical="top"/>
      <protection/>
    </xf>
    <xf numFmtId="3" fontId="5" fillId="0" borderId="0" xfId="62" applyNumberFormat="1" applyFont="1" applyFill="1" applyBorder="1" applyAlignment="1">
      <alignment vertical="top"/>
      <protection/>
    </xf>
    <xf numFmtId="1" fontId="5" fillId="0" borderId="10" xfId="62" applyNumberFormat="1" applyFont="1" applyFill="1" applyBorder="1" applyAlignment="1">
      <alignment horizontal="center" vertical="top"/>
      <protection/>
    </xf>
    <xf numFmtId="1" fontId="4" fillId="0" borderId="1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0" xfId="62" applyFont="1" applyFill="1" applyBorder="1" applyAlignment="1">
      <alignment horizontal="center" vertical="top"/>
      <protection/>
    </xf>
    <xf numFmtId="175" fontId="5" fillId="0" borderId="10" xfId="0" applyNumberFormat="1" applyFont="1" applyFill="1" applyBorder="1" applyAlignment="1">
      <alignment vertical="top" wrapText="1"/>
    </xf>
    <xf numFmtId="0" fontId="5" fillId="0" borderId="0" xfId="62" applyFont="1" applyFill="1" applyBorder="1">
      <alignment/>
      <protection/>
    </xf>
    <xf numFmtId="0" fontId="5" fillId="33" borderId="0" xfId="62" applyFont="1" applyFill="1" applyBorder="1" applyAlignment="1">
      <alignment vertical="top"/>
      <protection/>
    </xf>
    <xf numFmtId="0" fontId="4" fillId="33" borderId="10" xfId="62" applyFont="1" applyFill="1" applyBorder="1" applyAlignment="1">
      <alignment vertical="top" wrapText="1"/>
      <protection/>
    </xf>
    <xf numFmtId="3" fontId="4" fillId="33" borderId="10" xfId="62" applyNumberFormat="1" applyFont="1" applyFill="1" applyBorder="1" applyAlignment="1">
      <alignment vertical="top" wrapText="1"/>
      <protection/>
    </xf>
    <xf numFmtId="0" fontId="4" fillId="33" borderId="10" xfId="64" applyFont="1" applyFill="1" applyBorder="1" applyAlignment="1">
      <alignment vertical="top" wrapText="1"/>
      <protection/>
    </xf>
    <xf numFmtId="0" fontId="5" fillId="33" borderId="10" xfId="64" applyFont="1" applyFill="1" applyBorder="1" applyAlignment="1">
      <alignment vertical="top" wrapText="1"/>
      <protection/>
    </xf>
    <xf numFmtId="2" fontId="5" fillId="33" borderId="10" xfId="64" applyNumberFormat="1" applyFont="1" applyFill="1" applyBorder="1" applyAlignment="1">
      <alignment vertical="top" wrapText="1"/>
      <protection/>
    </xf>
    <xf numFmtId="0" fontId="5" fillId="33" borderId="10" xfId="64" applyFont="1" applyFill="1" applyBorder="1" applyAlignment="1">
      <alignment vertical="top"/>
      <protection/>
    </xf>
    <xf numFmtId="172" fontId="5" fillId="33" borderId="10" xfId="64" applyNumberFormat="1" applyFont="1" applyFill="1" applyBorder="1" applyAlignment="1">
      <alignment horizontal="right" vertical="top" wrapText="1"/>
      <protection/>
    </xf>
    <xf numFmtId="3" fontId="5" fillId="33" borderId="10" xfId="64" applyNumberFormat="1" applyFont="1" applyFill="1" applyBorder="1" applyAlignment="1">
      <alignment vertical="top"/>
      <protection/>
    </xf>
    <xf numFmtId="0" fontId="4" fillId="33" borderId="10" xfId="62" applyFont="1" applyFill="1" applyBorder="1" applyAlignment="1">
      <alignment horizontal="justify" vertical="top" wrapText="1"/>
      <protection/>
    </xf>
    <xf numFmtId="0" fontId="5" fillId="33" borderId="10" xfId="62" applyFont="1" applyFill="1" applyBorder="1" applyAlignment="1">
      <alignment vertical="top" wrapText="1"/>
      <protection/>
    </xf>
    <xf numFmtId="2" fontId="5" fillId="33" borderId="10" xfId="62" applyNumberFormat="1" applyFont="1" applyFill="1" applyBorder="1" applyAlignment="1">
      <alignment vertical="top" wrapText="1"/>
      <protection/>
    </xf>
    <xf numFmtId="0" fontId="5" fillId="33" borderId="10" xfId="70" applyFont="1" applyFill="1" applyBorder="1" applyAlignment="1">
      <alignment vertical="top" wrapText="1"/>
      <protection/>
    </xf>
    <xf numFmtId="2" fontId="5" fillId="33" borderId="10" xfId="70" applyNumberFormat="1" applyFont="1" applyFill="1" applyBorder="1" applyAlignment="1">
      <alignment vertical="top" wrapText="1"/>
      <protection/>
    </xf>
    <xf numFmtId="172" fontId="5" fillId="33" borderId="10" xfId="70" applyNumberFormat="1" applyFont="1" applyFill="1" applyBorder="1" applyAlignment="1">
      <alignment horizontal="right" vertical="top" wrapText="1"/>
      <protection/>
    </xf>
    <xf numFmtId="3" fontId="5" fillId="33" borderId="10" xfId="70" applyNumberFormat="1" applyFont="1" applyFill="1" applyBorder="1" applyAlignment="1">
      <alignment vertical="top"/>
      <protection/>
    </xf>
    <xf numFmtId="0" fontId="5" fillId="33" borderId="10" xfId="62" applyFont="1" applyFill="1" applyBorder="1" applyAlignment="1">
      <alignment horizontal="justify" vertical="top" wrapText="1"/>
      <protection/>
    </xf>
    <xf numFmtId="172" fontId="5" fillId="33" borderId="10" xfId="62" applyNumberFormat="1" applyFont="1" applyFill="1" applyBorder="1" applyAlignment="1">
      <alignment vertical="top" wrapText="1"/>
      <protection/>
    </xf>
    <xf numFmtId="3" fontId="5" fillId="33" borderId="10" xfId="62" applyNumberFormat="1" applyFont="1" applyFill="1" applyBorder="1" applyAlignment="1">
      <alignment horizontal="right" vertical="top" wrapText="1"/>
      <protection/>
    </xf>
    <xf numFmtId="0" fontId="5" fillId="33" borderId="10" xfId="62" applyFont="1" applyFill="1" applyBorder="1" applyAlignment="1">
      <alignment horizontal="right" vertical="top"/>
      <protection/>
    </xf>
    <xf numFmtId="1" fontId="4" fillId="33" borderId="10" xfId="62" applyNumberFormat="1" applyFont="1" applyFill="1" applyBorder="1" applyAlignment="1">
      <alignment horizontal="center" vertical="top" wrapText="1"/>
      <protection/>
    </xf>
    <xf numFmtId="0" fontId="4" fillId="33" borderId="10" xfId="62" applyFont="1" applyFill="1" applyBorder="1" applyAlignment="1">
      <alignment horizontal="justify" vertical="top"/>
      <protection/>
    </xf>
    <xf numFmtId="0" fontId="5" fillId="33" borderId="10" xfId="62" applyFont="1" applyFill="1" applyBorder="1" applyAlignment="1">
      <alignment horizontal="justify" vertical="top"/>
      <protection/>
    </xf>
    <xf numFmtId="1" fontId="5" fillId="33" borderId="10" xfId="62" applyNumberFormat="1" applyFont="1" applyFill="1" applyBorder="1" applyAlignment="1">
      <alignment horizontal="center" vertical="top"/>
      <protection/>
    </xf>
    <xf numFmtId="0" fontId="4" fillId="33" borderId="10" xfId="70" applyFont="1" applyFill="1" applyBorder="1" applyAlignment="1">
      <alignment vertical="top" wrapText="1"/>
      <protection/>
    </xf>
    <xf numFmtId="172" fontId="5" fillId="33" borderId="10" xfId="70" applyNumberFormat="1" applyFont="1" applyFill="1" applyBorder="1" applyAlignment="1">
      <alignment horizontal="right" vertical="top"/>
      <protection/>
    </xf>
    <xf numFmtId="3" fontId="5" fillId="33" borderId="10" xfId="62" applyNumberFormat="1" applyFont="1" applyFill="1" applyBorder="1" applyAlignment="1">
      <alignment vertical="top"/>
      <protection/>
    </xf>
    <xf numFmtId="0" fontId="5" fillId="33" borderId="10" xfId="62" applyFont="1" applyFill="1" applyBorder="1" applyAlignment="1">
      <alignment horizontal="center" vertical="top"/>
      <protection/>
    </xf>
    <xf numFmtId="172" fontId="5" fillId="33" borderId="10" xfId="64" applyNumberFormat="1" applyFont="1" applyFill="1" applyBorder="1" applyAlignment="1">
      <alignment vertical="top"/>
      <protection/>
    </xf>
    <xf numFmtId="2" fontId="5" fillId="33" borderId="10" xfId="64" applyNumberFormat="1" applyFont="1" applyFill="1" applyBorder="1" applyAlignment="1">
      <alignment horizontal="right" vertical="top"/>
      <protection/>
    </xf>
    <xf numFmtId="0" fontId="5" fillId="33" borderId="10" xfId="62" applyFont="1" applyFill="1" applyBorder="1" applyAlignment="1">
      <alignment horizontal="center" vertical="top" wrapText="1"/>
      <protection/>
    </xf>
    <xf numFmtId="172" fontId="5" fillId="33" borderId="10" xfId="62" applyNumberFormat="1" applyFont="1" applyFill="1" applyBorder="1" applyAlignment="1">
      <alignment horizontal="right" vertical="top" wrapText="1"/>
      <protection/>
    </xf>
    <xf numFmtId="3" fontId="4" fillId="33" borderId="10" xfId="62" applyNumberFormat="1" applyFont="1" applyFill="1" applyBorder="1" applyAlignment="1">
      <alignment horizontal="right" vertical="top" wrapText="1"/>
      <protection/>
    </xf>
    <xf numFmtId="0" fontId="5" fillId="33" borderId="10" xfId="62" applyFont="1" applyFill="1" applyBorder="1" applyAlignment="1">
      <alignment horizontal="left" vertical="top" wrapText="1"/>
      <protection/>
    </xf>
    <xf numFmtId="1" fontId="5" fillId="33" borderId="10" xfId="62" applyNumberFormat="1" applyFont="1" applyFill="1" applyBorder="1" applyAlignment="1">
      <alignment horizontal="right" vertical="top" wrapText="1"/>
      <protection/>
    </xf>
    <xf numFmtId="0" fontId="5" fillId="33" borderId="10" xfId="62" applyFont="1" applyFill="1" applyBorder="1" applyAlignment="1">
      <alignment vertical="top"/>
      <protection/>
    </xf>
    <xf numFmtId="0" fontId="9" fillId="33" borderId="10" xfId="64" applyFont="1" applyFill="1" applyBorder="1" applyAlignment="1">
      <alignment horizontal="right" vertical="top" wrapText="1"/>
      <protection/>
    </xf>
    <xf numFmtId="3" fontId="9" fillId="33" borderId="10" xfId="62" applyNumberFormat="1" applyFont="1" applyFill="1" applyBorder="1" applyAlignment="1">
      <alignment vertical="top" wrapText="1"/>
      <protection/>
    </xf>
    <xf numFmtId="173" fontId="9" fillId="33" borderId="10" xfId="45" applyNumberFormat="1" applyFont="1" applyFill="1" applyBorder="1" applyAlignment="1">
      <alignment horizontal="right" vertical="top"/>
    </xf>
    <xf numFmtId="0" fontId="4" fillId="33" borderId="10" xfId="62" applyFont="1" applyFill="1" applyBorder="1" applyAlignment="1">
      <alignment vertical="top"/>
      <protection/>
    </xf>
    <xf numFmtId="172" fontId="5" fillId="33" borderId="10" xfId="62" applyNumberFormat="1" applyFont="1" applyFill="1" applyBorder="1" applyAlignment="1">
      <alignment vertical="top"/>
      <protection/>
    </xf>
    <xf numFmtId="0" fontId="4" fillId="33" borderId="10" xfId="62" applyFont="1" applyFill="1" applyBorder="1" applyAlignment="1">
      <alignment horizontal="left" vertical="top" wrapText="1"/>
      <protection/>
    </xf>
    <xf numFmtId="172" fontId="4" fillId="33" borderId="10" xfId="70" applyNumberFormat="1" applyFont="1" applyFill="1" applyBorder="1" applyAlignment="1">
      <alignment vertical="top" wrapText="1"/>
      <protection/>
    </xf>
    <xf numFmtId="0" fontId="4" fillId="33" borderId="10" xfId="70" applyFont="1" applyFill="1" applyBorder="1" applyAlignment="1">
      <alignment vertical="top"/>
      <protection/>
    </xf>
    <xf numFmtId="2" fontId="4" fillId="33" borderId="10" xfId="70" applyNumberFormat="1" applyFont="1" applyFill="1" applyBorder="1" applyAlignment="1">
      <alignment horizontal="right" vertical="top"/>
      <protection/>
    </xf>
    <xf numFmtId="172" fontId="4" fillId="33" borderId="10" xfId="70" applyNumberFormat="1" applyFont="1" applyFill="1" applyBorder="1" applyAlignment="1">
      <alignment horizontal="right" vertical="top"/>
      <protection/>
    </xf>
    <xf numFmtId="0" fontId="5" fillId="33" borderId="10" xfId="70" applyFont="1" applyFill="1" applyBorder="1" applyAlignment="1">
      <alignment vertical="top"/>
      <protection/>
    </xf>
    <xf numFmtId="1" fontId="5" fillId="33" borderId="10" xfId="70" applyNumberFormat="1" applyFont="1" applyFill="1" applyBorder="1" applyAlignment="1">
      <alignment vertical="top" wrapText="1"/>
      <protection/>
    </xf>
    <xf numFmtId="0" fontId="5" fillId="33" borderId="10" xfId="64" applyFont="1" applyFill="1" applyBorder="1" applyAlignment="1">
      <alignment horizontal="justify" vertical="top"/>
      <protection/>
    </xf>
    <xf numFmtId="2" fontId="5" fillId="33" borderId="10" xfId="70" applyNumberFormat="1" applyFont="1" applyFill="1" applyBorder="1" applyAlignment="1">
      <alignment horizontal="right" vertical="top" wrapText="1"/>
      <protection/>
    </xf>
    <xf numFmtId="3" fontId="5" fillId="33" borderId="10" xfId="63" applyNumberFormat="1" applyFont="1" applyFill="1" applyBorder="1" applyAlignment="1">
      <alignment vertical="top"/>
      <protection/>
    </xf>
    <xf numFmtId="3" fontId="4" fillId="33" borderId="10" xfId="70" applyNumberFormat="1" applyFont="1" applyFill="1" applyBorder="1" applyAlignment="1">
      <alignment horizontal="right" vertical="top" wrapText="1"/>
      <protection/>
    </xf>
    <xf numFmtId="0" fontId="5" fillId="33" borderId="10" xfId="70" applyFont="1" applyFill="1" applyBorder="1" applyAlignment="1">
      <alignment horizontal="center" vertical="top" wrapText="1"/>
      <protection/>
    </xf>
    <xf numFmtId="2" fontId="5" fillId="33" borderId="10" xfId="62" applyNumberFormat="1" applyFont="1" applyFill="1" applyBorder="1" applyAlignment="1">
      <alignment horizontal="right" vertical="top" wrapText="1"/>
      <protection/>
    </xf>
    <xf numFmtId="4" fontId="5" fillId="33" borderId="10" xfId="62" applyNumberFormat="1" applyFont="1" applyFill="1" applyBorder="1" applyAlignment="1">
      <alignment horizontal="right" vertical="top" wrapText="1"/>
      <protection/>
    </xf>
    <xf numFmtId="2" fontId="5" fillId="33" borderId="10" xfId="63" applyNumberFormat="1" applyFont="1" applyFill="1" applyBorder="1" applyAlignment="1">
      <alignment horizontal="right" vertical="top" shrinkToFit="1"/>
      <protection/>
    </xf>
    <xf numFmtId="0" fontId="5" fillId="33" borderId="10" xfId="63" applyFont="1" applyFill="1" applyBorder="1" applyAlignment="1">
      <alignment horizontal="left" vertical="top" wrapText="1"/>
      <protection/>
    </xf>
    <xf numFmtId="0" fontId="4" fillId="33" borderId="10" xfId="63" applyFont="1" applyFill="1" applyBorder="1" applyAlignment="1">
      <alignment vertical="top" wrapText="1"/>
      <protection/>
    </xf>
    <xf numFmtId="173" fontId="5" fillId="33" borderId="10" xfId="45" applyNumberFormat="1" applyFont="1" applyFill="1" applyBorder="1" applyAlignment="1">
      <alignment horizontal="right" vertical="top"/>
    </xf>
    <xf numFmtId="172" fontId="9" fillId="33" borderId="10" xfId="62" applyNumberFormat="1" applyFont="1" applyFill="1" applyBorder="1" applyAlignment="1">
      <alignment horizontal="right" vertical="top"/>
      <protection/>
    </xf>
    <xf numFmtId="0" fontId="59" fillId="33" borderId="10" xfId="62" applyFont="1" applyFill="1" applyBorder="1" applyAlignment="1">
      <alignment horizontal="center" vertical="top"/>
      <protection/>
    </xf>
    <xf numFmtId="0" fontId="60" fillId="33" borderId="10" xfId="62" applyFont="1" applyFill="1" applyBorder="1" applyAlignment="1">
      <alignment vertical="top"/>
      <protection/>
    </xf>
    <xf numFmtId="0" fontId="59" fillId="33" borderId="10" xfId="62" applyFont="1" applyFill="1" applyBorder="1" applyAlignment="1">
      <alignment vertical="top"/>
      <protection/>
    </xf>
    <xf numFmtId="0" fontId="60" fillId="33" borderId="10" xfId="62" applyFont="1" applyFill="1" applyBorder="1" applyAlignment="1">
      <alignment vertical="top" wrapText="1"/>
      <protection/>
    </xf>
    <xf numFmtId="3" fontId="60" fillId="33" borderId="10" xfId="62" applyNumberFormat="1" applyFont="1" applyFill="1" applyBorder="1" applyAlignment="1">
      <alignment vertical="top" wrapText="1"/>
      <protection/>
    </xf>
    <xf numFmtId="0" fontId="60" fillId="33" borderId="10" xfId="64" applyFont="1" applyFill="1" applyBorder="1" applyAlignment="1">
      <alignment vertical="top" wrapText="1"/>
      <protection/>
    </xf>
    <xf numFmtId="0" fontId="59" fillId="33" borderId="0" xfId="62" applyFont="1" applyFill="1" applyBorder="1" applyAlignment="1">
      <alignment vertical="top"/>
      <protection/>
    </xf>
    <xf numFmtId="172" fontId="59" fillId="33" borderId="10" xfId="62" applyNumberFormat="1" applyFont="1" applyFill="1" applyBorder="1" applyAlignment="1">
      <alignment vertical="top"/>
      <protection/>
    </xf>
    <xf numFmtId="3" fontId="59" fillId="33" borderId="10" xfId="62" applyNumberFormat="1" applyFont="1" applyFill="1" applyBorder="1" applyAlignment="1">
      <alignment vertical="top"/>
      <protection/>
    </xf>
    <xf numFmtId="0" fontId="59" fillId="33" borderId="10" xfId="64" applyFont="1" applyFill="1" applyBorder="1" applyAlignment="1">
      <alignment vertical="top" wrapText="1"/>
      <protection/>
    </xf>
    <xf numFmtId="2" fontId="59" fillId="33" borderId="10" xfId="64" applyNumberFormat="1" applyFont="1" applyFill="1" applyBorder="1" applyAlignment="1">
      <alignment vertical="top" wrapText="1"/>
      <protection/>
    </xf>
    <xf numFmtId="0" fontId="59" fillId="33" borderId="10" xfId="64" applyFont="1" applyFill="1" applyBorder="1" applyAlignment="1">
      <alignment vertical="top"/>
      <protection/>
    </xf>
    <xf numFmtId="172" fontId="59" fillId="33" borderId="10" xfId="64" applyNumberFormat="1" applyFont="1" applyFill="1" applyBorder="1" applyAlignment="1">
      <alignment horizontal="right" vertical="top" wrapText="1"/>
      <protection/>
    </xf>
    <xf numFmtId="3" fontId="59" fillId="33" borderId="10" xfId="64" applyNumberFormat="1" applyFont="1" applyFill="1" applyBorder="1" applyAlignment="1">
      <alignment vertical="top"/>
      <protection/>
    </xf>
    <xf numFmtId="0" fontId="60" fillId="33" borderId="10" xfId="62" applyFont="1" applyFill="1" applyBorder="1" applyAlignment="1">
      <alignment horizontal="justify" vertical="top" wrapText="1"/>
      <protection/>
    </xf>
    <xf numFmtId="0" fontId="59" fillId="33" borderId="10" xfId="62" applyFont="1" applyFill="1" applyBorder="1" applyAlignment="1">
      <alignment vertical="top" wrapText="1"/>
      <protection/>
    </xf>
    <xf numFmtId="2" fontId="59" fillId="33" borderId="10" xfId="62" applyNumberFormat="1" applyFont="1" applyFill="1" applyBorder="1" applyAlignment="1">
      <alignment vertical="top" wrapText="1"/>
      <protection/>
    </xf>
    <xf numFmtId="0" fontId="59" fillId="33" borderId="10" xfId="70" applyFont="1" applyFill="1" applyBorder="1" applyAlignment="1">
      <alignment vertical="top" wrapText="1"/>
      <protection/>
    </xf>
    <xf numFmtId="2" fontId="59" fillId="33" borderId="10" xfId="70" applyNumberFormat="1" applyFont="1" applyFill="1" applyBorder="1" applyAlignment="1">
      <alignment vertical="top" wrapText="1"/>
      <protection/>
    </xf>
    <xf numFmtId="172" fontId="59" fillId="33" borderId="10" xfId="70" applyNumberFormat="1" applyFont="1" applyFill="1" applyBorder="1" applyAlignment="1">
      <alignment horizontal="right" vertical="top" wrapText="1"/>
      <protection/>
    </xf>
    <xf numFmtId="3" fontId="59" fillId="33" borderId="10" xfId="70" applyNumberFormat="1" applyFont="1" applyFill="1" applyBorder="1" applyAlignment="1">
      <alignment vertical="top"/>
      <protection/>
    </xf>
    <xf numFmtId="0" fontId="59" fillId="33" borderId="10" xfId="62" applyFont="1" applyFill="1" applyBorder="1" applyAlignment="1">
      <alignment horizontal="justify" vertical="top" wrapText="1"/>
      <protection/>
    </xf>
    <xf numFmtId="172" fontId="59" fillId="33" borderId="10" xfId="62" applyNumberFormat="1" applyFont="1" applyFill="1" applyBorder="1" applyAlignment="1">
      <alignment vertical="top" wrapText="1"/>
      <protection/>
    </xf>
    <xf numFmtId="3" fontId="59" fillId="33" borderId="10" xfId="62" applyNumberFormat="1" applyFont="1" applyFill="1" applyBorder="1" applyAlignment="1">
      <alignment horizontal="right" vertical="top" wrapText="1"/>
      <protection/>
    </xf>
    <xf numFmtId="0" fontId="59" fillId="33" borderId="10" xfId="62" applyFont="1" applyFill="1" applyBorder="1" applyAlignment="1">
      <alignment horizontal="right" vertical="top"/>
      <protection/>
    </xf>
    <xf numFmtId="1" fontId="60" fillId="33" borderId="10" xfId="62" applyNumberFormat="1" applyFont="1" applyFill="1" applyBorder="1" applyAlignment="1">
      <alignment horizontal="center" vertical="top" wrapText="1"/>
      <protection/>
    </xf>
    <xf numFmtId="0" fontId="60" fillId="33" borderId="10" xfId="62" applyFont="1" applyFill="1" applyBorder="1" applyAlignment="1">
      <alignment horizontal="justify" vertical="top"/>
      <protection/>
    </xf>
    <xf numFmtId="1" fontId="59" fillId="33" borderId="10" xfId="62" applyNumberFormat="1" applyFont="1" applyFill="1" applyBorder="1" applyAlignment="1">
      <alignment horizontal="center" vertical="top"/>
      <protection/>
    </xf>
    <xf numFmtId="0" fontId="60" fillId="33" borderId="10" xfId="70" applyFont="1" applyFill="1" applyBorder="1" applyAlignment="1">
      <alignment vertical="top" wrapText="1"/>
      <protection/>
    </xf>
    <xf numFmtId="172" fontId="59" fillId="33" borderId="10" xfId="70" applyNumberFormat="1" applyFont="1" applyFill="1" applyBorder="1" applyAlignment="1">
      <alignment horizontal="right" vertical="top"/>
      <protection/>
    </xf>
    <xf numFmtId="172" fontId="59" fillId="33" borderId="10" xfId="64" applyNumberFormat="1" applyFont="1" applyFill="1" applyBorder="1" applyAlignment="1">
      <alignment vertical="top"/>
      <protection/>
    </xf>
    <xf numFmtId="2" fontId="59" fillId="33" borderId="10" xfId="64" applyNumberFormat="1" applyFont="1" applyFill="1" applyBorder="1" applyAlignment="1">
      <alignment horizontal="right" vertical="top"/>
      <protection/>
    </xf>
    <xf numFmtId="0" fontId="59" fillId="33" borderId="10" xfId="62" applyFont="1" applyFill="1" applyBorder="1" applyAlignment="1">
      <alignment horizontal="center" vertical="top" wrapText="1"/>
      <protection/>
    </xf>
    <xf numFmtId="172" fontId="59" fillId="33" borderId="10" xfId="62" applyNumberFormat="1" applyFont="1" applyFill="1" applyBorder="1" applyAlignment="1">
      <alignment horizontal="right" vertical="top" wrapText="1"/>
      <protection/>
    </xf>
    <xf numFmtId="3" fontId="60" fillId="33" borderId="10" xfId="62" applyNumberFormat="1" applyFont="1" applyFill="1" applyBorder="1" applyAlignment="1">
      <alignment horizontal="right" vertical="top" wrapText="1"/>
      <protection/>
    </xf>
    <xf numFmtId="0" fontId="59" fillId="33" borderId="10" xfId="62" applyFont="1" applyFill="1" applyBorder="1" applyAlignment="1">
      <alignment horizontal="left" vertical="top" wrapText="1"/>
      <protection/>
    </xf>
    <xf numFmtId="1" fontId="59" fillId="33" borderId="10" xfId="62" applyNumberFormat="1" applyFont="1" applyFill="1" applyBorder="1" applyAlignment="1">
      <alignment horizontal="right" vertical="top" wrapText="1"/>
      <protection/>
    </xf>
    <xf numFmtId="0" fontId="61" fillId="33" borderId="10" xfId="64" applyFont="1" applyFill="1" applyBorder="1" applyAlignment="1">
      <alignment horizontal="right" vertical="top" wrapText="1"/>
      <protection/>
    </xf>
    <xf numFmtId="3" fontId="61" fillId="33" borderId="10" xfId="62" applyNumberFormat="1" applyFont="1" applyFill="1" applyBorder="1" applyAlignment="1">
      <alignment vertical="top" wrapText="1"/>
      <protection/>
    </xf>
    <xf numFmtId="173" fontId="61" fillId="33" borderId="10" xfId="45" applyNumberFormat="1" applyFont="1" applyFill="1" applyBorder="1" applyAlignment="1">
      <alignment horizontal="right" vertical="top"/>
    </xf>
    <xf numFmtId="0" fontId="16" fillId="0" borderId="0" xfId="0" applyFont="1" applyFill="1" applyAlignment="1">
      <alignment vertical="top"/>
    </xf>
    <xf numFmtId="0" fontId="16" fillId="0" borderId="0" xfId="0" applyFont="1" applyFill="1" applyAlignment="1">
      <alignment horizontal="center" vertical="top"/>
    </xf>
    <xf numFmtId="0" fontId="16" fillId="0" borderId="0" xfId="0" applyFont="1" applyFill="1" applyAlignment="1">
      <alignment horizontal="right" vertical="top"/>
    </xf>
    <xf numFmtId="0" fontId="15" fillId="0" borderId="10" xfId="0" applyFont="1" applyFill="1" applyBorder="1" applyAlignment="1">
      <alignment horizontal="center" vertical="top" wrapText="1"/>
    </xf>
    <xf numFmtId="0" fontId="15" fillId="0" borderId="10" xfId="0" applyFont="1" applyFill="1" applyBorder="1" applyAlignment="1">
      <alignment horizontal="right" vertical="top" wrapText="1"/>
    </xf>
    <xf numFmtId="0" fontId="14" fillId="0" borderId="10" xfId="0" applyFont="1" applyFill="1" applyBorder="1" applyAlignment="1">
      <alignment horizontal="center" vertical="top" wrapText="1"/>
    </xf>
    <xf numFmtId="0" fontId="14" fillId="0" borderId="10" xfId="0" applyFont="1" applyFill="1" applyBorder="1" applyAlignment="1">
      <alignment horizontal="left" vertical="top" wrapText="1"/>
    </xf>
    <xf numFmtId="172" fontId="14" fillId="0" borderId="10" xfId="0" applyNumberFormat="1" applyFont="1" applyFill="1" applyBorder="1" applyAlignment="1">
      <alignment horizontal="center" vertical="top" wrapText="1"/>
    </xf>
    <xf numFmtId="0" fontId="14" fillId="0" borderId="10" xfId="0" applyFont="1" applyFill="1" applyBorder="1" applyAlignment="1">
      <alignment horizontal="justify" vertical="top" wrapText="1"/>
    </xf>
    <xf numFmtId="0" fontId="16" fillId="0" borderId="10" xfId="0" applyFont="1" applyFill="1" applyBorder="1" applyAlignment="1">
      <alignment horizontal="center" vertical="top"/>
    </xf>
    <xf numFmtId="0" fontId="16" fillId="0" borderId="10" xfId="0" applyFont="1" applyFill="1" applyBorder="1" applyAlignment="1">
      <alignment horizontal="right" vertical="top"/>
    </xf>
    <xf numFmtId="3" fontId="16" fillId="0" borderId="10" xfId="0" applyNumberFormat="1" applyFont="1" applyFill="1" applyBorder="1" applyAlignment="1">
      <alignment horizontal="center" vertical="top" wrapText="1"/>
    </xf>
    <xf numFmtId="0" fontId="16" fillId="0" borderId="10" xfId="0" applyFont="1" applyFill="1" applyBorder="1" applyAlignment="1">
      <alignment vertical="top"/>
    </xf>
    <xf numFmtId="0" fontId="16" fillId="0" borderId="10" xfId="0" applyFont="1" applyFill="1" applyBorder="1" applyAlignment="1">
      <alignment horizontal="center" vertical="top" wrapText="1"/>
    </xf>
    <xf numFmtId="3" fontId="16" fillId="0" borderId="10" xfId="0" applyNumberFormat="1" applyFont="1" applyFill="1" applyBorder="1" applyAlignment="1">
      <alignment horizontal="right" vertical="top" wrapText="1"/>
    </xf>
    <xf numFmtId="0" fontId="16" fillId="0" borderId="10" xfId="0" applyFont="1" applyFill="1" applyBorder="1" applyAlignment="1">
      <alignment horizontal="justify" vertical="top" wrapText="1"/>
    </xf>
    <xf numFmtId="0" fontId="16" fillId="0" borderId="10" xfId="62" applyFont="1" applyFill="1" applyBorder="1" applyAlignment="1">
      <alignment horizontal="justify" vertical="top" wrapText="1"/>
      <protection/>
    </xf>
    <xf numFmtId="0" fontId="14" fillId="0" borderId="10" xfId="62" applyFont="1" applyFill="1" applyBorder="1" applyAlignment="1">
      <alignment horizontal="center" vertical="top" wrapText="1"/>
      <protection/>
    </xf>
    <xf numFmtId="0" fontId="14" fillId="0" borderId="10" xfId="62" applyFont="1" applyFill="1" applyBorder="1" applyAlignment="1">
      <alignment horizontal="justify" vertical="top" wrapText="1"/>
      <protection/>
    </xf>
    <xf numFmtId="3" fontId="16" fillId="0" borderId="10" xfId="0" applyNumberFormat="1" applyFont="1" applyFill="1" applyBorder="1" applyAlignment="1">
      <alignment vertical="top" wrapText="1"/>
    </xf>
    <xf numFmtId="0" fontId="16" fillId="0" borderId="10" xfId="0" applyNumberFormat="1" applyFont="1" applyFill="1" applyBorder="1" applyAlignment="1">
      <alignment horizontal="justify" vertical="top" wrapText="1"/>
    </xf>
    <xf numFmtId="0" fontId="14" fillId="0" borderId="10" xfId="62" applyFont="1" applyFill="1" applyBorder="1" applyAlignment="1">
      <alignment horizontal="center" vertical="top"/>
      <protection/>
    </xf>
    <xf numFmtId="0" fontId="14" fillId="0" borderId="10" xfId="62" applyFont="1" applyFill="1" applyBorder="1" applyAlignment="1">
      <alignment vertical="top" wrapText="1"/>
      <protection/>
    </xf>
    <xf numFmtId="173" fontId="16" fillId="0" borderId="10" xfId="42" applyNumberFormat="1" applyFont="1" applyFill="1" applyBorder="1" applyAlignment="1">
      <alignment horizontal="right" vertical="top" wrapText="1"/>
    </xf>
    <xf numFmtId="0" fontId="14" fillId="0" borderId="10" xfId="62" applyFont="1" applyFill="1" applyBorder="1" applyAlignment="1">
      <alignment horizontal="center" vertical="center" wrapText="1"/>
      <protection/>
    </xf>
    <xf numFmtId="172" fontId="14" fillId="0" borderId="10" xfId="62" applyNumberFormat="1" applyFont="1" applyFill="1" applyBorder="1" applyAlignment="1">
      <alignment horizontal="center" vertical="top"/>
      <protection/>
    </xf>
    <xf numFmtId="0" fontId="14" fillId="0" borderId="10" xfId="62" applyFont="1" applyFill="1" applyBorder="1" applyAlignment="1">
      <alignment horizontal="left" vertical="top"/>
      <protection/>
    </xf>
    <xf numFmtId="173" fontId="16" fillId="0" borderId="10" xfId="45" applyNumberFormat="1" applyFont="1" applyFill="1" applyBorder="1" applyAlignment="1">
      <alignment horizontal="right" vertical="top" wrapText="1"/>
    </xf>
    <xf numFmtId="172" fontId="16" fillId="0" borderId="10" xfId="62" applyNumberFormat="1" applyFont="1" applyFill="1" applyBorder="1" applyAlignment="1">
      <alignment horizontal="center" vertical="top" wrapText="1"/>
      <protection/>
    </xf>
    <xf numFmtId="0" fontId="16" fillId="0" borderId="10" xfId="0" applyFont="1" applyBorder="1" applyAlignment="1">
      <alignment/>
    </xf>
    <xf numFmtId="2" fontId="16" fillId="0" borderId="10" xfId="62" applyNumberFormat="1" applyFont="1" applyFill="1" applyBorder="1" applyAlignment="1">
      <alignment horizontal="center" vertical="top" wrapText="1"/>
      <protection/>
    </xf>
    <xf numFmtId="1" fontId="14" fillId="0" borderId="10" xfId="62" applyNumberFormat="1" applyFont="1" applyFill="1" applyBorder="1" applyAlignment="1">
      <alignment horizontal="center" vertical="top"/>
      <protection/>
    </xf>
    <xf numFmtId="0" fontId="16" fillId="0" borderId="0" xfId="62" applyFont="1" applyFill="1" applyBorder="1" applyAlignment="1">
      <alignment vertical="top"/>
      <protection/>
    </xf>
    <xf numFmtId="0" fontId="62" fillId="0" borderId="0" xfId="62" applyFont="1" applyFill="1" applyBorder="1" applyAlignment="1">
      <alignment vertical="top"/>
      <protection/>
    </xf>
    <xf numFmtId="1" fontId="16" fillId="0" borderId="10" xfId="0" applyNumberFormat="1" applyFont="1" applyFill="1" applyBorder="1" applyAlignment="1">
      <alignment horizontal="center" vertical="top" wrapText="1"/>
    </xf>
    <xf numFmtId="173" fontId="16" fillId="0" borderId="10" xfId="44" applyNumberFormat="1" applyFont="1" applyFill="1" applyBorder="1" applyAlignment="1">
      <alignment horizontal="right" vertical="top" wrapText="1"/>
    </xf>
    <xf numFmtId="0" fontId="16" fillId="0" borderId="10" xfId="0" applyFont="1" applyFill="1" applyBorder="1" applyAlignment="1">
      <alignment horizontal="justify" vertical="top"/>
    </xf>
    <xf numFmtId="173" fontId="63" fillId="0" borderId="10" xfId="44" applyNumberFormat="1" applyFont="1" applyFill="1" applyBorder="1" applyAlignment="1">
      <alignment horizontal="right" vertical="top" wrapText="1"/>
    </xf>
    <xf numFmtId="0" fontId="16" fillId="0" borderId="10" xfId="0" applyFont="1" applyFill="1" applyBorder="1" applyAlignment="1">
      <alignment horizontal="justify" vertical="top"/>
    </xf>
    <xf numFmtId="0" fontId="16" fillId="0" borderId="10" xfId="0" applyFont="1" applyFill="1" applyBorder="1" applyAlignment="1">
      <alignment horizontal="justify" vertical="top" wrapText="1"/>
    </xf>
    <xf numFmtId="3" fontId="16" fillId="0" borderId="10" xfId="62" applyNumberFormat="1" applyFont="1" applyFill="1" applyBorder="1" applyAlignment="1">
      <alignment horizontal="center" vertical="top" wrapText="1"/>
      <protection/>
    </xf>
    <xf numFmtId="173" fontId="16" fillId="0" borderId="10" xfId="44" applyNumberFormat="1" applyFont="1" applyFill="1" applyBorder="1" applyAlignment="1">
      <alignment vertical="top" wrapText="1"/>
    </xf>
    <xf numFmtId="0" fontId="16" fillId="0" borderId="10" xfId="62" applyFont="1" applyFill="1" applyBorder="1" applyAlignment="1">
      <alignment horizontal="center" vertical="top" wrapText="1"/>
      <protection/>
    </xf>
    <xf numFmtId="3" fontId="16" fillId="0" borderId="10" xfId="62" applyNumberFormat="1" applyFont="1" applyFill="1" applyBorder="1" applyAlignment="1">
      <alignment vertical="top" wrapText="1"/>
      <protection/>
    </xf>
    <xf numFmtId="1" fontId="14" fillId="0" borderId="10" xfId="0" applyNumberFormat="1" applyFont="1" applyFill="1" applyBorder="1" applyAlignment="1">
      <alignment horizontal="center" vertical="top" wrapText="1"/>
    </xf>
    <xf numFmtId="3" fontId="14" fillId="0" borderId="10" xfId="0" applyNumberFormat="1" applyFont="1" applyFill="1" applyBorder="1" applyAlignment="1">
      <alignment horizontal="right" vertical="top" wrapText="1"/>
    </xf>
    <xf numFmtId="0" fontId="16" fillId="0" borderId="10" xfId="0" applyFont="1" applyBorder="1" applyAlignment="1">
      <alignment vertical="center" wrapText="1"/>
    </xf>
    <xf numFmtId="0" fontId="14" fillId="0" borderId="10" xfId="0" applyFont="1" applyBorder="1" applyAlignment="1">
      <alignment horizontal="center" vertical="center"/>
    </xf>
    <xf numFmtId="0" fontId="64" fillId="0" borderId="10" xfId="0" applyFont="1" applyBorder="1" applyAlignment="1">
      <alignment horizontal="center" vertical="center"/>
    </xf>
    <xf numFmtId="0" fontId="14" fillId="0" borderId="10" xfId="0" applyFont="1" applyBorder="1" applyAlignment="1">
      <alignment horizontal="justify"/>
    </xf>
    <xf numFmtId="0" fontId="16" fillId="0" borderId="10" xfId="0" applyFont="1" applyBorder="1" applyAlignment="1">
      <alignment horizontal="justify"/>
    </xf>
    <xf numFmtId="0" fontId="16" fillId="0" borderId="10" xfId="0" applyFont="1" applyBorder="1" applyAlignment="1">
      <alignment vertical="top" wrapText="1"/>
    </xf>
    <xf numFmtId="0" fontId="16" fillId="0" borderId="10" xfId="0" applyFont="1" applyBorder="1" applyAlignment="1">
      <alignment horizontal="justify" vertical="top"/>
    </xf>
    <xf numFmtId="0" fontId="14" fillId="0" borderId="10" xfId="0" applyFont="1" applyBorder="1" applyAlignment="1">
      <alignment horizontal="justify" vertical="center"/>
    </xf>
    <xf numFmtId="0" fontId="16" fillId="0" borderId="10" xfId="0" applyFont="1" applyBorder="1" applyAlignment="1">
      <alignment horizontal="justify" vertical="center"/>
    </xf>
    <xf numFmtId="0" fontId="16" fillId="0" borderId="11" xfId="0" applyFont="1" applyFill="1" applyBorder="1" applyAlignment="1">
      <alignment horizontal="center" vertical="top" wrapText="1"/>
    </xf>
    <xf numFmtId="0" fontId="19"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3" fontId="3" fillId="0" borderId="10" xfId="0" applyNumberFormat="1" applyFont="1" applyFill="1" applyBorder="1" applyAlignment="1">
      <alignment horizontal="center" vertical="top" wrapText="1"/>
    </xf>
    <xf numFmtId="3" fontId="19" fillId="0" borderId="10" xfId="0" applyNumberFormat="1" applyFont="1" applyFill="1" applyBorder="1" applyAlignment="1">
      <alignment horizontal="right" vertical="top" wrapText="1"/>
    </xf>
    <xf numFmtId="3" fontId="3" fillId="0" borderId="10" xfId="0" applyNumberFormat="1" applyFont="1" applyFill="1" applyBorder="1" applyAlignment="1">
      <alignment horizontal="right" vertical="top" wrapText="1"/>
    </xf>
    <xf numFmtId="0" fontId="19" fillId="0" borderId="10" xfId="0" applyFont="1" applyFill="1" applyBorder="1" applyAlignment="1">
      <alignment horizontal="left" vertical="top" wrapText="1"/>
    </xf>
    <xf numFmtId="3" fontId="19" fillId="0" borderId="10" xfId="0" applyNumberFormat="1" applyFont="1" applyFill="1" applyBorder="1" applyAlignment="1">
      <alignment horizontal="center" vertical="top" wrapText="1"/>
    </xf>
    <xf numFmtId="4" fontId="19" fillId="0" borderId="10" xfId="0" applyNumberFormat="1" applyFont="1" applyFill="1" applyBorder="1" applyAlignment="1">
      <alignment horizontal="right" vertical="top" wrapText="1"/>
    </xf>
    <xf numFmtId="0" fontId="19" fillId="0" borderId="10" xfId="0" applyFont="1" applyFill="1" applyBorder="1" applyAlignment="1">
      <alignment vertical="top"/>
    </xf>
    <xf numFmtId="0" fontId="19" fillId="0" borderId="0" xfId="0" applyFont="1" applyFill="1" applyAlignment="1">
      <alignment horizontal="right" vertical="top"/>
    </xf>
    <xf numFmtId="0" fontId="19" fillId="0" borderId="0" xfId="0" applyFont="1" applyFill="1" applyAlignment="1">
      <alignment vertical="top"/>
    </xf>
    <xf numFmtId="0" fontId="19" fillId="0" borderId="0" xfId="0" applyFont="1" applyFill="1" applyAlignment="1">
      <alignment horizontal="center" vertical="top"/>
    </xf>
    <xf numFmtId="0" fontId="19" fillId="0" borderId="0" xfId="0" applyFont="1" applyFill="1" applyAlignment="1">
      <alignment/>
    </xf>
    <xf numFmtId="0" fontId="4" fillId="0" borderId="0" xfId="0" applyFont="1" applyFill="1" applyAlignment="1">
      <alignment/>
    </xf>
    <xf numFmtId="0" fontId="16" fillId="0" borderId="11" xfId="0" applyFont="1" applyFill="1" applyBorder="1" applyAlignment="1">
      <alignment horizontal="left" vertical="top" wrapText="1"/>
    </xf>
    <xf numFmtId="3" fontId="16" fillId="0" borderId="11" xfId="0" applyNumberFormat="1" applyFont="1" applyFill="1" applyBorder="1" applyAlignment="1">
      <alignment horizontal="center" vertical="top" wrapText="1"/>
    </xf>
    <xf numFmtId="4" fontId="16" fillId="0" borderId="11" xfId="0" applyNumberFormat="1" applyFont="1" applyFill="1" applyBorder="1" applyAlignment="1">
      <alignment horizontal="right" vertical="top" wrapText="1"/>
    </xf>
    <xf numFmtId="0" fontId="14" fillId="0" borderId="11" xfId="0" applyFont="1" applyFill="1" applyBorder="1" applyAlignment="1">
      <alignment horizontal="center" vertical="top" wrapText="1"/>
    </xf>
    <xf numFmtId="3" fontId="16" fillId="0" borderId="11" xfId="0" applyNumberFormat="1" applyFont="1" applyFill="1" applyBorder="1" applyAlignment="1">
      <alignment horizontal="right" vertical="top" wrapText="1"/>
    </xf>
    <xf numFmtId="0" fontId="14" fillId="0" borderId="12" xfId="0" applyFont="1" applyBorder="1" applyAlignment="1">
      <alignment horizontal="center" vertical="center"/>
    </xf>
    <xf numFmtId="0" fontId="14" fillId="0" borderId="12" xfId="0" applyFont="1" applyBorder="1" applyAlignment="1">
      <alignment horizontal="justify"/>
    </xf>
    <xf numFmtId="0" fontId="64" fillId="0" borderId="12" xfId="0" applyFont="1" applyBorder="1" applyAlignment="1">
      <alignment horizontal="center" vertical="center"/>
    </xf>
    <xf numFmtId="0" fontId="14" fillId="0" borderId="13" xfId="0" applyFont="1" applyBorder="1" applyAlignment="1">
      <alignment horizontal="center" vertical="center" wrapText="1"/>
    </xf>
    <xf numFmtId="0" fontId="15" fillId="0" borderId="14" xfId="0" applyFont="1" applyFill="1" applyBorder="1" applyAlignment="1">
      <alignment horizontal="right" vertical="center"/>
    </xf>
    <xf numFmtId="0" fontId="14" fillId="0" borderId="14" xfId="0" applyFont="1" applyBorder="1" applyAlignment="1">
      <alignment horizontal="center" vertical="center"/>
    </xf>
    <xf numFmtId="0" fontId="64" fillId="0" borderId="14" xfId="0" applyFont="1" applyBorder="1" applyAlignment="1">
      <alignment horizontal="center" vertical="center"/>
    </xf>
    <xf numFmtId="0" fontId="14" fillId="0" borderId="15" xfId="0" applyFont="1" applyBorder="1" applyAlignment="1">
      <alignment horizontal="center" vertical="center"/>
    </xf>
    <xf numFmtId="0" fontId="11" fillId="0" borderId="0" xfId="62" applyFont="1" applyFill="1" applyBorder="1" applyAlignment="1">
      <alignment horizontal="center" vertical="top" wrapText="1"/>
      <protection/>
    </xf>
    <xf numFmtId="0" fontId="13" fillId="0" borderId="0" xfId="62" applyFont="1" applyFill="1" applyBorder="1" applyAlignment="1">
      <alignment horizontal="center" vertical="top" wrapText="1"/>
      <protection/>
    </xf>
    <xf numFmtId="0" fontId="4" fillId="0" borderId="10" xfId="62" applyFont="1" applyFill="1" applyBorder="1" applyAlignment="1">
      <alignment horizontal="left" vertical="top" wrapText="1"/>
      <protection/>
    </xf>
    <xf numFmtId="0" fontId="8" fillId="0" borderId="10" xfId="62" applyFont="1" applyFill="1" applyBorder="1" applyAlignment="1">
      <alignment horizontal="left" vertical="top" wrapText="1"/>
      <protection/>
    </xf>
    <xf numFmtId="0" fontId="4" fillId="0" borderId="10" xfId="70" applyFont="1" applyFill="1" applyBorder="1" applyAlignment="1">
      <alignment horizontal="left" vertical="top" wrapText="1"/>
      <protection/>
    </xf>
    <xf numFmtId="0" fontId="4" fillId="0" borderId="13" xfId="62" applyFont="1" applyFill="1" applyBorder="1" applyAlignment="1">
      <alignment horizontal="left" vertical="top" wrapText="1"/>
      <protection/>
    </xf>
    <xf numFmtId="0" fontId="4" fillId="0" borderId="14" xfId="62" applyFont="1" applyFill="1" applyBorder="1" applyAlignment="1">
      <alignment horizontal="left" vertical="top" wrapText="1"/>
      <protection/>
    </xf>
    <xf numFmtId="0" fontId="4" fillId="0" borderId="15" xfId="62" applyFont="1" applyFill="1" applyBorder="1" applyAlignment="1">
      <alignment horizontal="left" vertical="top" wrapText="1"/>
      <protection/>
    </xf>
    <xf numFmtId="0" fontId="4" fillId="0" borderId="10" xfId="0" applyFont="1" applyFill="1" applyBorder="1" applyAlignment="1">
      <alignment horizontal="center" vertical="top" wrapText="1"/>
    </xf>
    <xf numFmtId="0" fontId="4" fillId="33" borderId="10" xfId="70" applyFont="1" applyFill="1" applyBorder="1" applyAlignment="1">
      <alignment horizontal="left" vertical="top" wrapText="1"/>
      <protection/>
    </xf>
    <xf numFmtId="0" fontId="14" fillId="0" borderId="10" xfId="62" applyFont="1" applyFill="1" applyBorder="1" applyAlignment="1">
      <alignment horizontal="center" vertical="center" wrapText="1"/>
      <protection/>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16" fillId="0" borderId="10"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5" fillId="0" borderId="0" xfId="0" applyFont="1" applyFill="1" applyAlignment="1">
      <alignment horizontal="center" vertical="top" wrapText="1"/>
    </xf>
    <xf numFmtId="0" fontId="15" fillId="0" borderId="0" xfId="0" applyFont="1" applyFill="1" applyAlignment="1">
      <alignment horizontal="center" vertical="top"/>
    </xf>
    <xf numFmtId="0" fontId="14" fillId="0" borderId="0" xfId="0" applyFont="1" applyFill="1" applyAlignment="1">
      <alignment horizontal="center" vertical="top"/>
    </xf>
    <xf numFmtId="3" fontId="16" fillId="0" borderId="11" xfId="0" applyNumberFormat="1" applyFont="1" applyFill="1" applyBorder="1" applyAlignment="1">
      <alignment vertical="top" wrapText="1"/>
    </xf>
    <xf numFmtId="3" fontId="16" fillId="0" borderId="12" xfId="0" applyNumberFormat="1" applyFont="1" applyFill="1" applyBorder="1" applyAlignment="1">
      <alignment vertical="top" wrapText="1"/>
    </xf>
    <xf numFmtId="0" fontId="14" fillId="0" borderId="11" xfId="62" applyFont="1" applyFill="1" applyBorder="1" applyAlignment="1">
      <alignment horizontal="center" vertical="top"/>
      <protection/>
    </xf>
    <xf numFmtId="0" fontId="14" fillId="0" borderId="12" xfId="62" applyFont="1" applyFill="1" applyBorder="1" applyAlignment="1">
      <alignment horizontal="center" vertical="top"/>
      <protection/>
    </xf>
    <xf numFmtId="3" fontId="16" fillId="0" borderId="10" xfId="0" applyNumberFormat="1" applyFont="1" applyFill="1" applyBorder="1" applyAlignment="1">
      <alignment horizontal="center" vertical="top" wrapText="1"/>
    </xf>
    <xf numFmtId="0" fontId="16" fillId="0" borderId="11" xfId="0" applyFont="1" applyFill="1" applyBorder="1" applyAlignment="1">
      <alignment horizontal="center" vertical="top" wrapText="1"/>
    </xf>
    <xf numFmtId="0" fontId="16" fillId="0" borderId="12" xfId="0" applyFont="1" applyFill="1" applyBorder="1" applyAlignment="1">
      <alignment horizontal="center" vertical="top" wrapText="1"/>
    </xf>
    <xf numFmtId="3" fontId="16" fillId="0" borderId="10" xfId="0" applyNumberFormat="1" applyFont="1" applyFill="1" applyBorder="1" applyAlignment="1">
      <alignmen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1" xfId="60"/>
    <cellStyle name="Normal 2" xfId="61"/>
    <cellStyle name="Normal 2 2" xfId="62"/>
    <cellStyle name="Normal 2 2 2" xfId="63"/>
    <cellStyle name="Normal 2 3" xfId="64"/>
    <cellStyle name="Normal 2_1 MOD - B Devarply (150)" xfId="65"/>
    <cellStyle name="Normal 3" xfId="66"/>
    <cellStyle name="Normal 4" xfId="67"/>
    <cellStyle name="Normal 4 2" xfId="68"/>
    <cellStyle name="Normal 5" xfId="69"/>
    <cellStyle name="Normal 7" xfId="70"/>
    <cellStyle name="Note" xfId="71"/>
    <cellStyle name="Output" xfId="72"/>
    <cellStyle name="Percent" xfId="73"/>
    <cellStyle name="Percent 2" xfId="74"/>
    <cellStyle name="Percent 3" xfId="75"/>
    <cellStyle name="Style 1"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147"/>
  <sheetViews>
    <sheetView view="pageBreakPreview" zoomScaleSheetLayoutView="100" zoomScalePageLayoutView="0" workbookViewId="0" topLeftCell="A1035">
      <selection activeCell="E1041" sqref="E1041"/>
    </sheetView>
  </sheetViews>
  <sheetFormatPr defaultColWidth="9.140625" defaultRowHeight="12.75"/>
  <cols>
    <col min="1" max="1" width="9.57421875" style="148" customWidth="1"/>
    <col min="2" max="2" width="55.421875" style="138" customWidth="1"/>
    <col min="3" max="3" width="6.421875" style="138" customWidth="1"/>
    <col min="4" max="4" width="9.7109375" style="138" customWidth="1"/>
    <col min="5" max="5" width="8.140625" style="138" customWidth="1"/>
    <col min="6" max="6" width="9.8515625" style="138" customWidth="1"/>
    <col min="7" max="7" width="10.140625" style="138" customWidth="1"/>
    <col min="8" max="8" width="9.421875" style="138" customWidth="1"/>
    <col min="9" max="9" width="9.00390625" style="143" customWidth="1"/>
    <col min="10" max="10" width="9.421875" style="144" customWidth="1"/>
    <col min="11" max="11" width="13.57421875" style="138" customWidth="1"/>
    <col min="12" max="16384" width="9.140625" style="138" customWidth="1"/>
  </cols>
  <sheetData>
    <row r="1" spans="1:11" s="135" customFormat="1" ht="26.25" customHeight="1">
      <c r="A1" s="334" t="s">
        <v>319</v>
      </c>
      <c r="B1" s="334"/>
      <c r="C1" s="334"/>
      <c r="D1" s="334"/>
      <c r="E1" s="334"/>
      <c r="F1" s="334"/>
      <c r="G1" s="334"/>
      <c r="H1" s="334"/>
      <c r="I1" s="334"/>
      <c r="J1" s="334"/>
      <c r="K1" s="334"/>
    </row>
    <row r="2" spans="1:11" s="135" customFormat="1" ht="18.75">
      <c r="A2" s="134"/>
      <c r="B2" s="136"/>
      <c r="C2" s="136"/>
      <c r="D2" s="136"/>
      <c r="E2" s="136"/>
      <c r="F2" s="136"/>
      <c r="G2" s="136"/>
      <c r="H2" s="136"/>
      <c r="I2" s="136"/>
      <c r="J2" s="136"/>
      <c r="K2" s="136"/>
    </row>
    <row r="3" spans="1:11" s="135" customFormat="1" ht="18.75">
      <c r="A3" s="335" t="s">
        <v>91</v>
      </c>
      <c r="B3" s="335"/>
      <c r="C3" s="335"/>
      <c r="D3" s="335"/>
      <c r="E3" s="335"/>
      <c r="F3" s="335"/>
      <c r="G3" s="335"/>
      <c r="H3" s="335"/>
      <c r="I3" s="335"/>
      <c r="J3" s="335"/>
      <c r="K3" s="335"/>
    </row>
    <row r="4" spans="1:11" s="135" customFormat="1" ht="15" customHeight="1">
      <c r="A4" s="137"/>
      <c r="B4" s="137"/>
      <c r="C4" s="137"/>
      <c r="D4" s="137"/>
      <c r="E4" s="137"/>
      <c r="F4" s="137"/>
      <c r="G4" s="137"/>
      <c r="H4" s="137"/>
      <c r="I4" s="137"/>
      <c r="J4" s="137"/>
      <c r="K4" s="137"/>
    </row>
    <row r="5" spans="1:11" ht="18.75" customHeight="1">
      <c r="A5" s="7" t="s">
        <v>92</v>
      </c>
      <c r="B5" s="5" t="s">
        <v>93</v>
      </c>
      <c r="C5" s="6" t="s">
        <v>94</v>
      </c>
      <c r="D5" s="4" t="s">
        <v>17</v>
      </c>
      <c r="E5" s="7" t="s">
        <v>18</v>
      </c>
      <c r="F5" s="7"/>
      <c r="G5" s="4"/>
      <c r="H5" s="13"/>
      <c r="I5" s="14"/>
      <c r="J5" s="15"/>
      <c r="K5" s="13"/>
    </row>
    <row r="6" spans="1:11" ht="16.5">
      <c r="A6" s="12"/>
      <c r="B6" s="9" t="s">
        <v>95</v>
      </c>
      <c r="C6" s="10"/>
      <c r="D6" s="11"/>
      <c r="E6" s="12"/>
      <c r="F6" s="12"/>
      <c r="G6" s="6"/>
      <c r="H6" s="13"/>
      <c r="I6" s="14"/>
      <c r="J6" s="15"/>
      <c r="K6" s="13"/>
    </row>
    <row r="7" spans="1:11" s="3" customFormat="1" ht="16.5">
      <c r="A7" s="12"/>
      <c r="B7" s="16" t="s">
        <v>96</v>
      </c>
      <c r="C7" s="10"/>
      <c r="D7" s="11"/>
      <c r="E7" s="17">
        <v>0.15</v>
      </c>
      <c r="F7" s="18">
        <v>15</v>
      </c>
      <c r="G7" s="19"/>
      <c r="H7" s="10"/>
      <c r="I7" s="20"/>
      <c r="J7" s="21"/>
      <c r="K7" s="10"/>
    </row>
    <row r="8" spans="1:11" ht="16.5">
      <c r="A8" s="6"/>
      <c r="B8" s="139" t="s">
        <v>97</v>
      </c>
      <c r="C8" s="6"/>
      <c r="D8" s="23">
        <v>800</v>
      </c>
      <c r="E8" s="24" t="s">
        <v>98</v>
      </c>
      <c r="F8" s="25"/>
      <c r="G8" s="24"/>
      <c r="H8" s="14"/>
      <c r="I8" s="27"/>
      <c r="J8" s="27"/>
      <c r="K8" s="15"/>
    </row>
    <row r="9" spans="1:11" ht="16.5">
      <c r="A9" s="6"/>
      <c r="B9" s="139" t="s">
        <v>99</v>
      </c>
      <c r="C9" s="6"/>
      <c r="D9" s="23">
        <v>550</v>
      </c>
      <c r="E9" s="24" t="s">
        <v>98</v>
      </c>
      <c r="F9" s="25"/>
      <c r="G9" s="24"/>
      <c r="H9" s="14"/>
      <c r="I9" s="27"/>
      <c r="J9" s="27"/>
      <c r="K9" s="15"/>
    </row>
    <row r="10" spans="1:11" ht="16.5">
      <c r="A10" s="6"/>
      <c r="B10" s="139" t="s">
        <v>100</v>
      </c>
      <c r="C10" s="6"/>
      <c r="D10" s="23">
        <v>600</v>
      </c>
      <c r="E10" s="24" t="s">
        <v>98</v>
      </c>
      <c r="F10" s="25"/>
      <c r="G10" s="24"/>
      <c r="H10" s="24"/>
      <c r="I10" s="27"/>
      <c r="J10" s="27"/>
      <c r="K10" s="15"/>
    </row>
    <row r="11" spans="1:11" ht="16.5">
      <c r="A11" s="6"/>
      <c r="B11" s="139" t="s">
        <v>101</v>
      </c>
      <c r="C11" s="6"/>
      <c r="D11" s="23">
        <v>1325</v>
      </c>
      <c r="E11" s="24" t="s">
        <v>98</v>
      </c>
      <c r="F11" s="25"/>
      <c r="G11" s="24"/>
      <c r="H11" s="24"/>
      <c r="I11" s="27"/>
      <c r="J11" s="27"/>
      <c r="K11" s="15"/>
    </row>
    <row r="12" spans="1:11" ht="16.5">
      <c r="A12" s="6"/>
      <c r="B12" s="139" t="s">
        <v>330</v>
      </c>
      <c r="C12" s="6"/>
      <c r="D12" s="23">
        <v>1750</v>
      </c>
      <c r="E12" s="24" t="s">
        <v>98</v>
      </c>
      <c r="F12" s="25"/>
      <c r="G12" s="13"/>
      <c r="H12" s="24"/>
      <c r="I12" s="14"/>
      <c r="J12" s="26"/>
      <c r="K12" s="21"/>
    </row>
    <row r="13" spans="1:11" ht="16.5">
      <c r="A13" s="6"/>
      <c r="B13" s="139" t="s">
        <v>102</v>
      </c>
      <c r="C13" s="6"/>
      <c r="D13" s="23">
        <v>1900</v>
      </c>
      <c r="E13" s="24" t="s">
        <v>98</v>
      </c>
      <c r="F13" s="25"/>
      <c r="G13" s="13"/>
      <c r="H13" s="24"/>
      <c r="I13" s="14"/>
      <c r="J13" s="26"/>
      <c r="K13" s="21"/>
    </row>
    <row r="14" spans="1:11" ht="16.5">
      <c r="A14" s="6"/>
      <c r="B14" s="139" t="s">
        <v>103</v>
      </c>
      <c r="C14" s="6"/>
      <c r="D14" s="23">
        <v>300</v>
      </c>
      <c r="E14" s="24" t="s">
        <v>98</v>
      </c>
      <c r="F14" s="25"/>
      <c r="G14" s="13"/>
      <c r="H14" s="28"/>
      <c r="I14" s="14"/>
      <c r="J14" s="26"/>
      <c r="K14" s="21"/>
    </row>
    <row r="15" spans="1:11" ht="16.5">
      <c r="A15" s="6"/>
      <c r="B15" s="139" t="s">
        <v>104</v>
      </c>
      <c r="C15" s="6"/>
      <c r="D15" s="23">
        <v>550</v>
      </c>
      <c r="E15" s="24" t="s">
        <v>98</v>
      </c>
      <c r="F15" s="25"/>
      <c r="G15" s="13"/>
      <c r="H15" s="28"/>
      <c r="I15" s="14"/>
      <c r="J15" s="26"/>
      <c r="K15" s="21"/>
    </row>
    <row r="16" spans="1:11" ht="16.5">
      <c r="A16" s="6"/>
      <c r="B16" s="139" t="s">
        <v>105</v>
      </c>
      <c r="C16" s="6"/>
      <c r="D16" s="23">
        <v>740</v>
      </c>
      <c r="E16" s="24" t="s">
        <v>98</v>
      </c>
      <c r="F16" s="25"/>
      <c r="G16" s="13"/>
      <c r="H16" s="28"/>
      <c r="I16" s="14"/>
      <c r="J16" s="26"/>
      <c r="K16" s="21"/>
    </row>
    <row r="17" spans="1:11" ht="16.5">
      <c r="A17" s="6"/>
      <c r="B17" s="139" t="s">
        <v>106</v>
      </c>
      <c r="C17" s="6"/>
      <c r="D17" s="23">
        <v>500</v>
      </c>
      <c r="E17" s="24" t="s">
        <v>98</v>
      </c>
      <c r="F17" s="25"/>
      <c r="G17" s="13"/>
      <c r="H17" s="28"/>
      <c r="I17" s="14"/>
      <c r="J17" s="26"/>
      <c r="K17" s="21"/>
    </row>
    <row r="18" spans="1:11" ht="16.5">
      <c r="A18" s="6"/>
      <c r="B18" s="139" t="s">
        <v>107</v>
      </c>
      <c r="C18" s="6"/>
      <c r="D18" s="23"/>
      <c r="E18" s="24"/>
      <c r="F18" s="25"/>
      <c r="G18" s="13"/>
      <c r="H18" s="24"/>
      <c r="I18" s="14"/>
      <c r="J18" s="26"/>
      <c r="K18" s="21"/>
    </row>
    <row r="19" spans="1:11" ht="16.5">
      <c r="A19" s="6"/>
      <c r="B19" s="139" t="s">
        <v>108</v>
      </c>
      <c r="C19" s="6"/>
      <c r="D19" s="23">
        <v>500</v>
      </c>
      <c r="E19" s="24" t="s">
        <v>109</v>
      </c>
      <c r="F19" s="25"/>
      <c r="G19" s="13"/>
      <c r="H19" s="24"/>
      <c r="I19" s="14"/>
      <c r="J19" s="26"/>
      <c r="K19" s="21"/>
    </row>
    <row r="20" spans="1:11" ht="16.5">
      <c r="A20" s="6"/>
      <c r="B20" s="139" t="s">
        <v>110</v>
      </c>
      <c r="C20" s="6"/>
      <c r="D20" s="23">
        <v>6300</v>
      </c>
      <c r="E20" s="24" t="s">
        <v>98</v>
      </c>
      <c r="F20" s="25"/>
      <c r="G20" s="24"/>
      <c r="H20" s="29"/>
      <c r="I20" s="27"/>
      <c r="J20" s="27"/>
      <c r="K20" s="15"/>
    </row>
    <row r="21" spans="1:11" ht="16.5">
      <c r="A21" s="6"/>
      <c r="B21" s="139" t="s">
        <v>111</v>
      </c>
      <c r="C21" s="6"/>
      <c r="D21" s="23">
        <v>7400</v>
      </c>
      <c r="E21" s="24" t="s">
        <v>98</v>
      </c>
      <c r="F21" s="25"/>
      <c r="G21" s="24"/>
      <c r="H21" s="29"/>
      <c r="I21" s="27"/>
      <c r="J21" s="27"/>
      <c r="K21" s="15"/>
    </row>
    <row r="22" spans="1:11" ht="16.5">
      <c r="A22" s="6"/>
      <c r="B22" s="139" t="s">
        <v>112</v>
      </c>
      <c r="C22" s="6"/>
      <c r="D22" s="23">
        <v>800</v>
      </c>
      <c r="E22" s="24" t="s">
        <v>98</v>
      </c>
      <c r="F22" s="25"/>
      <c r="G22" s="24"/>
      <c r="H22" s="14"/>
      <c r="I22" s="27"/>
      <c r="J22" s="27"/>
      <c r="K22" s="21"/>
    </row>
    <row r="23" spans="1:11" ht="16.5">
      <c r="A23" s="6"/>
      <c r="B23" s="139" t="s">
        <v>113</v>
      </c>
      <c r="C23" s="6"/>
      <c r="D23" s="23">
        <v>1200</v>
      </c>
      <c r="E23" s="24" t="s">
        <v>98</v>
      </c>
      <c r="F23" s="25"/>
      <c r="G23" s="24"/>
      <c r="H23" s="14"/>
      <c r="I23" s="27"/>
      <c r="J23" s="27"/>
      <c r="K23" s="21"/>
    </row>
    <row r="24" spans="1:11" ht="16.5">
      <c r="A24" s="6"/>
      <c r="B24" s="139" t="s">
        <v>114</v>
      </c>
      <c r="C24" s="6"/>
      <c r="D24" s="23">
        <v>2750</v>
      </c>
      <c r="E24" s="24" t="s">
        <v>98</v>
      </c>
      <c r="F24" s="25"/>
      <c r="G24" s="24"/>
      <c r="H24" s="14"/>
      <c r="I24" s="27"/>
      <c r="J24" s="27"/>
      <c r="K24" s="21"/>
    </row>
    <row r="25" spans="1:11" ht="16.5">
      <c r="A25" s="6"/>
      <c r="B25" s="139" t="s">
        <v>115</v>
      </c>
      <c r="C25" s="6"/>
      <c r="D25" s="23">
        <v>3650</v>
      </c>
      <c r="E25" s="24" t="s">
        <v>98</v>
      </c>
      <c r="F25" s="25"/>
      <c r="G25" s="24"/>
      <c r="H25" s="14"/>
      <c r="I25" s="27"/>
      <c r="J25" s="27"/>
      <c r="K25" s="21"/>
    </row>
    <row r="26" spans="1:11" ht="16.5">
      <c r="A26" s="6"/>
      <c r="B26" s="139" t="s">
        <v>116</v>
      </c>
      <c r="C26" s="6"/>
      <c r="D26" s="23">
        <v>1680</v>
      </c>
      <c r="E26" s="24" t="s">
        <v>98</v>
      </c>
      <c r="F26" s="25"/>
      <c r="G26" s="24"/>
      <c r="H26" s="14"/>
      <c r="I26" s="27"/>
      <c r="J26" s="27"/>
      <c r="K26" s="15"/>
    </row>
    <row r="27" spans="1:11" ht="16.5">
      <c r="A27" s="6"/>
      <c r="B27" s="30" t="s">
        <v>117</v>
      </c>
      <c r="C27" s="6"/>
      <c r="D27" s="23">
        <v>225</v>
      </c>
      <c r="E27" s="24" t="s">
        <v>118</v>
      </c>
      <c r="F27" s="25"/>
      <c r="G27" s="24"/>
      <c r="H27" s="14"/>
      <c r="I27" s="27"/>
      <c r="J27" s="27"/>
      <c r="K27" s="15"/>
    </row>
    <row r="28" spans="1:11" ht="16.5">
      <c r="A28" s="6"/>
      <c r="B28" s="31" t="s">
        <v>119</v>
      </c>
      <c r="C28" s="6"/>
      <c r="D28" s="23">
        <v>120</v>
      </c>
      <c r="E28" s="24" t="s">
        <v>98</v>
      </c>
      <c r="F28" s="25"/>
      <c r="G28" s="13"/>
      <c r="H28" s="24"/>
      <c r="I28" s="14"/>
      <c r="J28" s="27"/>
      <c r="K28" s="15"/>
    </row>
    <row r="29" spans="1:11" ht="16.5">
      <c r="A29" s="6"/>
      <c r="B29" s="139" t="s">
        <v>120</v>
      </c>
      <c r="C29" s="6"/>
      <c r="D29" s="23">
        <v>200</v>
      </c>
      <c r="E29" s="24" t="s">
        <v>98</v>
      </c>
      <c r="F29" s="25"/>
      <c r="G29" s="13"/>
      <c r="H29" s="24"/>
      <c r="I29" s="14"/>
      <c r="J29" s="27"/>
      <c r="K29" s="15"/>
    </row>
    <row r="30" spans="1:11" ht="16.5">
      <c r="A30" s="6"/>
      <c r="B30" s="139" t="s">
        <v>121</v>
      </c>
      <c r="C30" s="6"/>
      <c r="D30" s="23">
        <v>500</v>
      </c>
      <c r="E30" s="24" t="s">
        <v>109</v>
      </c>
      <c r="F30" s="25"/>
      <c r="G30" s="13"/>
      <c r="H30" s="25"/>
      <c r="I30" s="14"/>
      <c r="J30" s="26"/>
      <c r="K30" s="21"/>
    </row>
    <row r="31" spans="1:11" ht="16.5">
      <c r="A31" s="6"/>
      <c r="B31" s="140" t="s">
        <v>122</v>
      </c>
      <c r="C31" s="6"/>
      <c r="D31" s="23"/>
      <c r="E31" s="24"/>
      <c r="F31" s="25"/>
      <c r="G31" s="13"/>
      <c r="H31" s="25"/>
      <c r="I31" s="14"/>
      <c r="J31" s="26"/>
      <c r="K31" s="21"/>
    </row>
    <row r="32" spans="1:11" ht="16.5">
      <c r="A32" s="6"/>
      <c r="B32" s="24" t="s">
        <v>123</v>
      </c>
      <c r="C32" s="6"/>
      <c r="D32" s="23">
        <v>1000</v>
      </c>
      <c r="E32" s="24" t="s">
        <v>1</v>
      </c>
      <c r="F32" s="25"/>
      <c r="G32" s="13"/>
      <c r="H32" s="25"/>
      <c r="I32" s="14"/>
      <c r="J32" s="26"/>
      <c r="K32" s="21"/>
    </row>
    <row r="33" spans="1:11" ht="16.5">
      <c r="A33" s="6"/>
      <c r="B33" s="24" t="s">
        <v>124</v>
      </c>
      <c r="C33" s="6"/>
      <c r="D33" s="23">
        <v>550</v>
      </c>
      <c r="E33" s="24" t="s">
        <v>1</v>
      </c>
      <c r="F33" s="25"/>
      <c r="G33" s="13"/>
      <c r="H33" s="25"/>
      <c r="I33" s="14"/>
      <c r="J33" s="26"/>
      <c r="K33" s="21"/>
    </row>
    <row r="34" spans="1:11" ht="16.5">
      <c r="A34" s="6"/>
      <c r="B34" s="24" t="s">
        <v>125</v>
      </c>
      <c r="C34" s="6"/>
      <c r="D34" s="23">
        <v>1100</v>
      </c>
      <c r="E34" s="24" t="s">
        <v>1</v>
      </c>
      <c r="F34" s="25"/>
      <c r="G34" s="13"/>
      <c r="H34" s="25"/>
      <c r="I34" s="14"/>
      <c r="J34" s="26"/>
      <c r="K34" s="21"/>
    </row>
    <row r="35" spans="1:11" ht="16.5">
      <c r="A35" s="6"/>
      <c r="B35" s="24" t="s">
        <v>126</v>
      </c>
      <c r="C35" s="6"/>
      <c r="D35" s="23">
        <v>25</v>
      </c>
      <c r="E35" s="24" t="s">
        <v>1</v>
      </c>
      <c r="F35" s="25"/>
      <c r="G35" s="13"/>
      <c r="H35" s="25"/>
      <c r="I35" s="14"/>
      <c r="J35" s="26"/>
      <c r="K35" s="21"/>
    </row>
    <row r="36" spans="1:11" ht="16.5">
      <c r="A36" s="6"/>
      <c r="B36" s="24" t="s">
        <v>127</v>
      </c>
      <c r="C36" s="6"/>
      <c r="D36" s="23">
        <v>250</v>
      </c>
      <c r="E36" s="24" t="s">
        <v>1</v>
      </c>
      <c r="F36" s="25"/>
      <c r="G36" s="13"/>
      <c r="H36" s="25"/>
      <c r="I36" s="14"/>
      <c r="J36" s="26"/>
      <c r="K36" s="21"/>
    </row>
    <row r="37" spans="1:11" ht="31.5">
      <c r="A37" s="6"/>
      <c r="B37" s="24" t="s">
        <v>128</v>
      </c>
      <c r="C37" s="6"/>
      <c r="D37" s="23">
        <v>125</v>
      </c>
      <c r="E37" s="24" t="s">
        <v>129</v>
      </c>
      <c r="F37" s="25"/>
      <c r="G37" s="13"/>
      <c r="H37" s="25"/>
      <c r="I37" s="14"/>
      <c r="J37" s="26"/>
      <c r="K37" s="21"/>
    </row>
    <row r="38" spans="1:11" ht="16.5">
      <c r="A38" s="6"/>
      <c r="B38" s="24" t="s">
        <v>130</v>
      </c>
      <c r="C38" s="6"/>
      <c r="D38" s="23">
        <v>100</v>
      </c>
      <c r="E38" s="24" t="s">
        <v>129</v>
      </c>
      <c r="F38" s="25"/>
      <c r="G38" s="13"/>
      <c r="H38" s="25"/>
      <c r="I38" s="14"/>
      <c r="J38" s="26"/>
      <c r="K38" s="21"/>
    </row>
    <row r="39" spans="1:11" ht="16.5">
      <c r="A39" s="6"/>
      <c r="B39" s="24" t="s">
        <v>131</v>
      </c>
      <c r="C39" s="6"/>
      <c r="D39" s="23">
        <v>200</v>
      </c>
      <c r="E39" s="24" t="s">
        <v>1</v>
      </c>
      <c r="F39" s="25"/>
      <c r="G39" s="13"/>
      <c r="H39" s="25"/>
      <c r="I39" s="14"/>
      <c r="J39" s="26"/>
      <c r="K39" s="21"/>
    </row>
    <row r="40" spans="1:11" ht="16.5">
      <c r="A40" s="6"/>
      <c r="B40" s="24" t="s">
        <v>132</v>
      </c>
      <c r="C40" s="6"/>
      <c r="D40" s="23">
        <v>125</v>
      </c>
      <c r="E40" s="24" t="s">
        <v>1</v>
      </c>
      <c r="F40" s="25"/>
      <c r="G40" s="13"/>
      <c r="H40" s="25"/>
      <c r="I40" s="14"/>
      <c r="J40" s="26"/>
      <c r="K40" s="21"/>
    </row>
    <row r="41" spans="1:11" ht="16.5">
      <c r="A41" s="6"/>
      <c r="B41" s="32" t="s">
        <v>133</v>
      </c>
      <c r="C41" s="6"/>
      <c r="D41" s="23">
        <v>100</v>
      </c>
      <c r="E41" s="24" t="s">
        <v>1</v>
      </c>
      <c r="F41" s="25"/>
      <c r="G41" s="13"/>
      <c r="H41" s="25"/>
      <c r="I41" s="14"/>
      <c r="J41" s="26"/>
      <c r="K41" s="21"/>
    </row>
    <row r="42" spans="1:11" ht="16.5">
      <c r="A42" s="6"/>
      <c r="B42" s="24" t="s">
        <v>134</v>
      </c>
      <c r="C42" s="6"/>
      <c r="D42" s="23">
        <v>25</v>
      </c>
      <c r="E42" s="24" t="s">
        <v>1</v>
      </c>
      <c r="F42" s="25"/>
      <c r="G42" s="13"/>
      <c r="H42" s="25"/>
      <c r="I42" s="14"/>
      <c r="J42" s="26"/>
      <c r="K42" s="21"/>
    </row>
    <row r="43" spans="1:11" ht="16.5">
      <c r="A43" s="6"/>
      <c r="B43" s="24" t="s">
        <v>135</v>
      </c>
      <c r="C43" s="6"/>
      <c r="D43" s="23">
        <v>1950</v>
      </c>
      <c r="E43" s="24" t="s">
        <v>136</v>
      </c>
      <c r="F43" s="25"/>
      <c r="G43" s="13"/>
      <c r="H43" s="25"/>
      <c r="I43" s="14"/>
      <c r="J43" s="26"/>
      <c r="K43" s="21"/>
    </row>
    <row r="44" spans="1:11" ht="16.5">
      <c r="A44" s="6"/>
      <c r="B44" s="24" t="s">
        <v>137</v>
      </c>
      <c r="C44" s="6"/>
      <c r="D44" s="23">
        <v>850</v>
      </c>
      <c r="E44" s="24" t="s">
        <v>1</v>
      </c>
      <c r="F44" s="25"/>
      <c r="G44" s="13"/>
      <c r="H44" s="25"/>
      <c r="I44" s="14"/>
      <c r="J44" s="26"/>
      <c r="K44" s="21"/>
    </row>
    <row r="45" spans="1:11" ht="31.5">
      <c r="A45" s="6"/>
      <c r="B45" s="24" t="s">
        <v>138</v>
      </c>
      <c r="C45" s="6"/>
      <c r="D45" s="23">
        <v>1000</v>
      </c>
      <c r="E45" s="24" t="s">
        <v>1</v>
      </c>
      <c r="F45" s="25"/>
      <c r="G45" s="13"/>
      <c r="H45" s="25"/>
      <c r="I45" s="14"/>
      <c r="J45" s="26"/>
      <c r="K45" s="21"/>
    </row>
    <row r="46" spans="1:11" ht="16.5">
      <c r="A46" s="6"/>
      <c r="B46" s="24" t="s">
        <v>139</v>
      </c>
      <c r="C46" s="6"/>
      <c r="D46" s="23">
        <v>400</v>
      </c>
      <c r="E46" s="24" t="s">
        <v>1</v>
      </c>
      <c r="F46" s="25"/>
      <c r="G46" s="13"/>
      <c r="H46" s="25"/>
      <c r="I46" s="14"/>
      <c r="J46" s="26"/>
      <c r="K46" s="21"/>
    </row>
    <row r="47" spans="1:11" ht="16.5">
      <c r="A47" s="6"/>
      <c r="B47" s="24" t="s">
        <v>140</v>
      </c>
      <c r="C47" s="6"/>
      <c r="D47" s="23">
        <v>5000</v>
      </c>
      <c r="E47" s="24" t="s">
        <v>1</v>
      </c>
      <c r="F47" s="25"/>
      <c r="G47" s="13"/>
      <c r="H47" s="25"/>
      <c r="I47" s="14"/>
      <c r="J47" s="26"/>
      <c r="K47" s="21"/>
    </row>
    <row r="48" spans="1:11" ht="16.5">
      <c r="A48" s="6"/>
      <c r="B48" s="24" t="s">
        <v>333</v>
      </c>
      <c r="C48" s="6"/>
      <c r="D48" s="23">
        <v>1410</v>
      </c>
      <c r="E48" s="24" t="s">
        <v>1</v>
      </c>
      <c r="F48" s="25"/>
      <c r="G48" s="13"/>
      <c r="H48" s="25"/>
      <c r="I48" s="14"/>
      <c r="J48" s="26"/>
      <c r="K48" s="21"/>
    </row>
    <row r="49" spans="1:11" ht="16.5">
      <c r="A49" s="6"/>
      <c r="B49" s="24" t="s">
        <v>141</v>
      </c>
      <c r="C49" s="6"/>
      <c r="D49" s="23">
        <v>450</v>
      </c>
      <c r="E49" s="24" t="s">
        <v>1</v>
      </c>
      <c r="F49" s="25"/>
      <c r="G49" s="13"/>
      <c r="H49" s="25"/>
      <c r="I49" s="14"/>
      <c r="J49" s="26"/>
      <c r="K49" s="21"/>
    </row>
    <row r="50" spans="1:11" ht="16.5">
      <c r="A50" s="6"/>
      <c r="B50" s="24" t="s">
        <v>142</v>
      </c>
      <c r="C50" s="6"/>
      <c r="D50" s="23">
        <v>50</v>
      </c>
      <c r="E50" s="24" t="s">
        <v>1</v>
      </c>
      <c r="F50" s="25"/>
      <c r="G50" s="13"/>
      <c r="H50" s="25"/>
      <c r="I50" s="14"/>
      <c r="J50" s="26"/>
      <c r="K50" s="21"/>
    </row>
    <row r="51" spans="1:11" ht="16.5">
      <c r="A51" s="6"/>
      <c r="B51" s="24" t="s">
        <v>143</v>
      </c>
      <c r="C51" s="6"/>
      <c r="D51" s="23"/>
      <c r="E51" s="24"/>
      <c r="F51" s="25"/>
      <c r="G51" s="13"/>
      <c r="H51" s="25"/>
      <c r="I51" s="14"/>
      <c r="J51" s="26"/>
      <c r="K51" s="21"/>
    </row>
    <row r="52" spans="1:11" ht="16.5">
      <c r="A52" s="6"/>
      <c r="B52" s="24" t="s">
        <v>144</v>
      </c>
      <c r="C52" s="6"/>
      <c r="D52" s="23">
        <v>7650</v>
      </c>
      <c r="E52" s="24" t="s">
        <v>1</v>
      </c>
      <c r="F52" s="25"/>
      <c r="G52" s="13"/>
      <c r="H52" s="25"/>
      <c r="I52" s="14"/>
      <c r="J52" s="26"/>
      <c r="K52" s="21"/>
    </row>
    <row r="53" spans="1:11" ht="31.5">
      <c r="A53" s="6"/>
      <c r="B53" s="24" t="s">
        <v>145</v>
      </c>
      <c r="C53" s="6"/>
      <c r="D53" s="23">
        <v>1616</v>
      </c>
      <c r="E53" s="24" t="s">
        <v>1</v>
      </c>
      <c r="F53" s="25"/>
      <c r="G53" s="13"/>
      <c r="H53" s="25"/>
      <c r="I53" s="14"/>
      <c r="J53" s="26"/>
      <c r="K53" s="21"/>
    </row>
    <row r="54" spans="1:11" ht="16.5">
      <c r="A54" s="6"/>
      <c r="B54" s="24" t="s">
        <v>146</v>
      </c>
      <c r="C54" s="6"/>
      <c r="D54" s="23">
        <v>1045</v>
      </c>
      <c r="E54" s="24" t="s">
        <v>1</v>
      </c>
      <c r="F54" s="25"/>
      <c r="G54" s="13"/>
      <c r="H54" s="25"/>
      <c r="I54" s="14"/>
      <c r="J54" s="26"/>
      <c r="K54" s="21"/>
    </row>
    <row r="55" spans="1:11" ht="16.5">
      <c r="A55" s="6"/>
      <c r="B55" s="24" t="s">
        <v>147</v>
      </c>
      <c r="C55" s="6"/>
      <c r="D55" s="23">
        <v>165</v>
      </c>
      <c r="E55" s="24" t="s">
        <v>1</v>
      </c>
      <c r="F55" s="25"/>
      <c r="G55" s="13"/>
      <c r="H55" s="25"/>
      <c r="I55" s="14"/>
      <c r="J55" s="26"/>
      <c r="K55" s="21"/>
    </row>
    <row r="56" spans="1:11" ht="16.5">
      <c r="A56" s="6"/>
      <c r="B56" s="24" t="s">
        <v>148</v>
      </c>
      <c r="C56" s="6"/>
      <c r="D56" s="23">
        <v>1045</v>
      </c>
      <c r="E56" s="24" t="s">
        <v>1</v>
      </c>
      <c r="F56" s="25"/>
      <c r="G56" s="13"/>
      <c r="H56" s="25"/>
      <c r="I56" s="14"/>
      <c r="J56" s="26"/>
      <c r="K56" s="21"/>
    </row>
    <row r="57" spans="1:11" ht="16.5">
      <c r="A57" s="6"/>
      <c r="B57" s="24" t="s">
        <v>149</v>
      </c>
      <c r="C57" s="6"/>
      <c r="D57" s="23"/>
      <c r="E57" s="24"/>
      <c r="F57" s="25"/>
      <c r="G57" s="13"/>
      <c r="H57" s="25"/>
      <c r="I57" s="14"/>
      <c r="J57" s="26"/>
      <c r="K57" s="21"/>
    </row>
    <row r="58" spans="1:11" ht="16.5">
      <c r="A58" s="6"/>
      <c r="B58" s="24" t="s">
        <v>150</v>
      </c>
      <c r="C58" s="6"/>
      <c r="D58" s="23">
        <v>505</v>
      </c>
      <c r="E58" s="24" t="s">
        <v>1</v>
      </c>
      <c r="F58" s="25"/>
      <c r="G58" s="13"/>
      <c r="H58" s="25"/>
      <c r="I58" s="14"/>
      <c r="J58" s="26"/>
      <c r="K58" s="21"/>
    </row>
    <row r="59" spans="1:11" ht="16.5">
      <c r="A59" s="6"/>
      <c r="B59" s="24" t="s">
        <v>151</v>
      </c>
      <c r="C59" s="6"/>
      <c r="D59" s="23">
        <v>505</v>
      </c>
      <c r="E59" s="24" t="s">
        <v>1</v>
      </c>
      <c r="F59" s="25"/>
      <c r="G59" s="13"/>
      <c r="H59" s="25"/>
      <c r="I59" s="14"/>
      <c r="J59" s="26"/>
      <c r="K59" s="21"/>
    </row>
    <row r="60" spans="1:11" ht="16.5">
      <c r="A60" s="6"/>
      <c r="B60" s="24" t="s">
        <v>152</v>
      </c>
      <c r="C60" s="6"/>
      <c r="D60" s="23">
        <v>50000</v>
      </c>
      <c r="E60" s="24" t="s">
        <v>153</v>
      </c>
      <c r="F60" s="25"/>
      <c r="G60" s="13"/>
      <c r="H60" s="25"/>
      <c r="I60" s="14"/>
      <c r="J60" s="26"/>
      <c r="K60" s="21"/>
    </row>
    <row r="61" spans="1:11" ht="16.5">
      <c r="A61" s="6"/>
      <c r="B61" s="336" t="s">
        <v>154</v>
      </c>
      <c r="C61" s="336"/>
      <c r="D61" s="336"/>
      <c r="E61" s="336"/>
      <c r="F61" s="336"/>
      <c r="G61" s="336"/>
      <c r="H61" s="33" t="s">
        <v>94</v>
      </c>
      <c r="I61" s="25">
        <v>60000</v>
      </c>
      <c r="J61" s="26"/>
      <c r="K61" s="21"/>
    </row>
    <row r="62" spans="1:11" ht="16.5">
      <c r="A62" s="6"/>
      <c r="B62" s="10" t="s">
        <v>155</v>
      </c>
      <c r="C62" s="34"/>
      <c r="D62" s="13"/>
      <c r="E62" s="13"/>
      <c r="F62" s="13"/>
      <c r="G62" s="13"/>
      <c r="H62" s="13"/>
      <c r="I62" s="13"/>
      <c r="J62" s="26"/>
      <c r="K62" s="21"/>
    </row>
    <row r="63" spans="1:11" ht="16.5">
      <c r="A63" s="6"/>
      <c r="B63" s="13" t="s">
        <v>156</v>
      </c>
      <c r="C63" s="34">
        <v>1</v>
      </c>
      <c r="D63" s="13">
        <v>1</v>
      </c>
      <c r="E63" s="13">
        <v>0.085</v>
      </c>
      <c r="F63" s="13">
        <v>0.015</v>
      </c>
      <c r="G63" s="13">
        <f>C63*D63*E63*F63</f>
        <v>0.001275</v>
      </c>
      <c r="H63" s="13">
        <f>I61</f>
        <v>60000</v>
      </c>
      <c r="I63" s="35">
        <f>G63*H63</f>
        <v>76.5</v>
      </c>
      <c r="J63" s="26"/>
      <c r="K63" s="21"/>
    </row>
    <row r="64" spans="1:11" ht="16.5">
      <c r="A64" s="6"/>
      <c r="B64" s="13" t="s">
        <v>157</v>
      </c>
      <c r="C64" s="34"/>
      <c r="D64" s="13"/>
      <c r="E64" s="13"/>
      <c r="F64" s="13"/>
      <c r="G64" s="13"/>
      <c r="H64" s="13"/>
      <c r="I64" s="35">
        <f>I63*15%</f>
        <v>11.475</v>
      </c>
      <c r="J64" s="26"/>
      <c r="K64" s="21"/>
    </row>
    <row r="65" spans="1:11" ht="16.5">
      <c r="A65" s="6"/>
      <c r="B65" s="13" t="s">
        <v>158</v>
      </c>
      <c r="C65" s="34">
        <v>1</v>
      </c>
      <c r="D65" s="13">
        <v>1</v>
      </c>
      <c r="E65" s="13">
        <f>E63</f>
        <v>0.085</v>
      </c>
      <c r="F65" s="13"/>
      <c r="G65" s="13">
        <f>C65*D65*E65</f>
        <v>0.085</v>
      </c>
      <c r="H65" s="13"/>
      <c r="I65" s="13"/>
      <c r="J65" s="26"/>
      <c r="K65" s="21"/>
    </row>
    <row r="66" spans="1:11" ht="16.5">
      <c r="A66" s="6"/>
      <c r="B66" s="13"/>
      <c r="C66" s="34">
        <v>2</v>
      </c>
      <c r="D66" s="13">
        <v>1</v>
      </c>
      <c r="E66" s="13">
        <f>F63</f>
        <v>0.015</v>
      </c>
      <c r="F66" s="13"/>
      <c r="G66" s="13">
        <f>C66*D66*E66</f>
        <v>0.03</v>
      </c>
      <c r="H66" s="13"/>
      <c r="I66" s="13"/>
      <c r="J66" s="26"/>
      <c r="K66" s="21"/>
    </row>
    <row r="67" spans="1:11" ht="16.5">
      <c r="A67" s="6"/>
      <c r="B67" s="13"/>
      <c r="C67" s="34"/>
      <c r="D67" s="13"/>
      <c r="E67" s="13"/>
      <c r="F67" s="13"/>
      <c r="G67" s="13">
        <f>SUM(G65:G66)</f>
        <v>0.115</v>
      </c>
      <c r="H67" s="36">
        <f>$D$29</f>
        <v>200</v>
      </c>
      <c r="I67" s="35">
        <f>G67*H67</f>
        <v>23</v>
      </c>
      <c r="J67" s="26"/>
      <c r="K67" s="21"/>
    </row>
    <row r="68" spans="1:11" ht="16.5">
      <c r="A68" s="6"/>
      <c r="B68" s="13" t="s">
        <v>159</v>
      </c>
      <c r="C68" s="8"/>
      <c r="D68" s="13"/>
      <c r="E68" s="13"/>
      <c r="F68" s="13"/>
      <c r="G68" s="13"/>
      <c r="H68" s="13"/>
      <c r="I68" s="35">
        <f>SUM(I63:I67)</f>
        <v>110.975</v>
      </c>
      <c r="J68" s="26"/>
      <c r="K68" s="21"/>
    </row>
    <row r="69" spans="1:11" ht="16.5">
      <c r="A69" s="6"/>
      <c r="B69" s="10" t="s">
        <v>160</v>
      </c>
      <c r="C69" s="24"/>
      <c r="D69" s="13"/>
      <c r="E69" s="13"/>
      <c r="F69" s="13"/>
      <c r="G69" s="13"/>
      <c r="H69" s="13"/>
      <c r="I69" s="21">
        <f>ROUND(I68,0)</f>
        <v>111</v>
      </c>
      <c r="J69" s="26"/>
      <c r="K69" s="21"/>
    </row>
    <row r="70" spans="1:11" ht="16.5">
      <c r="A70" s="6"/>
      <c r="B70" s="10" t="s">
        <v>161</v>
      </c>
      <c r="C70" s="34"/>
      <c r="D70" s="13"/>
      <c r="E70" s="13"/>
      <c r="F70" s="13"/>
      <c r="G70" s="13"/>
      <c r="H70" s="13"/>
      <c r="I70" s="13"/>
      <c r="J70" s="26"/>
      <c r="K70" s="21"/>
    </row>
    <row r="71" spans="1:11" ht="16.5">
      <c r="A71" s="6"/>
      <c r="B71" s="13" t="s">
        <v>156</v>
      </c>
      <c r="C71" s="34">
        <v>1</v>
      </c>
      <c r="D71" s="13">
        <v>1</v>
      </c>
      <c r="E71" s="13">
        <v>0.065</v>
      </c>
      <c r="F71" s="13">
        <v>0.015</v>
      </c>
      <c r="G71" s="13">
        <f>C71*D71*E71*F71</f>
        <v>0.000975</v>
      </c>
      <c r="H71" s="13">
        <f>I61</f>
        <v>60000</v>
      </c>
      <c r="I71" s="35">
        <f>G71*H71</f>
        <v>58.5</v>
      </c>
      <c r="J71" s="26"/>
      <c r="K71" s="21"/>
    </row>
    <row r="72" spans="1:11" ht="16.5">
      <c r="A72" s="6"/>
      <c r="B72" s="13" t="s">
        <v>157</v>
      </c>
      <c r="C72" s="34"/>
      <c r="D72" s="13"/>
      <c r="E72" s="13"/>
      <c r="F72" s="13"/>
      <c r="G72" s="13"/>
      <c r="H72" s="13"/>
      <c r="I72" s="35">
        <f>I71*15%</f>
        <v>8.775</v>
      </c>
      <c r="J72" s="26"/>
      <c r="K72" s="21"/>
    </row>
    <row r="73" spans="1:11" ht="16.5">
      <c r="A73" s="6"/>
      <c r="B73" s="13" t="s">
        <v>158</v>
      </c>
      <c r="C73" s="34">
        <v>1</v>
      </c>
      <c r="D73" s="13">
        <v>1</v>
      </c>
      <c r="E73" s="13">
        <f>E71</f>
        <v>0.065</v>
      </c>
      <c r="F73" s="13"/>
      <c r="G73" s="13">
        <f>C73*D73*E73</f>
        <v>0.065</v>
      </c>
      <c r="H73" s="13"/>
      <c r="I73" s="13"/>
      <c r="J73" s="26"/>
      <c r="K73" s="21"/>
    </row>
    <row r="74" spans="1:11" ht="16.5">
      <c r="A74" s="6"/>
      <c r="B74" s="13"/>
      <c r="C74" s="34">
        <v>2</v>
      </c>
      <c r="D74" s="13">
        <v>1</v>
      </c>
      <c r="E74" s="13">
        <f>F71</f>
        <v>0.015</v>
      </c>
      <c r="F74" s="13"/>
      <c r="G74" s="13">
        <f>C74*D74*E74</f>
        <v>0.03</v>
      </c>
      <c r="H74" s="13"/>
      <c r="I74" s="13"/>
      <c r="J74" s="26"/>
      <c r="K74" s="21"/>
    </row>
    <row r="75" spans="1:11" ht="16.5">
      <c r="A75" s="6"/>
      <c r="B75" s="13"/>
      <c r="C75" s="34"/>
      <c r="D75" s="13"/>
      <c r="E75" s="13"/>
      <c r="F75" s="13"/>
      <c r="G75" s="13">
        <f>SUM(G73:G74)</f>
        <v>0.095</v>
      </c>
      <c r="H75" s="36">
        <f>$D$29</f>
        <v>200</v>
      </c>
      <c r="I75" s="35">
        <f>G75*H75</f>
        <v>19</v>
      </c>
      <c r="J75" s="26"/>
      <c r="K75" s="21"/>
    </row>
    <row r="76" spans="1:11" ht="16.5">
      <c r="A76" s="6"/>
      <c r="B76" s="13" t="s">
        <v>159</v>
      </c>
      <c r="C76" s="8"/>
      <c r="D76" s="13"/>
      <c r="E76" s="13"/>
      <c r="F76" s="13"/>
      <c r="G76" s="13"/>
      <c r="H76" s="13"/>
      <c r="I76" s="35">
        <f>SUM(I71:I75)</f>
        <v>86.275</v>
      </c>
      <c r="J76" s="26"/>
      <c r="K76" s="21"/>
    </row>
    <row r="77" spans="1:11" ht="16.5">
      <c r="A77" s="6"/>
      <c r="B77" s="10" t="s">
        <v>160</v>
      </c>
      <c r="C77" s="24"/>
      <c r="D77" s="13"/>
      <c r="E77" s="13"/>
      <c r="F77" s="13"/>
      <c r="G77" s="13"/>
      <c r="H77" s="13"/>
      <c r="I77" s="21">
        <f>ROUND(I76,0)</f>
        <v>86</v>
      </c>
      <c r="J77" s="26"/>
      <c r="K77" s="21"/>
    </row>
    <row r="78" spans="1:11" ht="16.5">
      <c r="A78" s="6"/>
      <c r="B78" s="10" t="s">
        <v>331</v>
      </c>
      <c r="C78" s="34"/>
      <c r="D78" s="13"/>
      <c r="E78" s="13"/>
      <c r="F78" s="13"/>
      <c r="G78" s="13"/>
      <c r="H78" s="13"/>
      <c r="I78" s="13"/>
      <c r="J78" s="26"/>
      <c r="K78" s="21"/>
    </row>
    <row r="79" spans="1:11" ht="16.5">
      <c r="A79" s="6"/>
      <c r="B79" s="13" t="s">
        <v>156</v>
      </c>
      <c r="C79" s="34">
        <v>1</v>
      </c>
      <c r="D79" s="13">
        <v>1</v>
      </c>
      <c r="E79" s="13">
        <v>0.045</v>
      </c>
      <c r="F79" s="13">
        <v>0.015</v>
      </c>
      <c r="G79" s="13">
        <f>C79*D79*E79*F79</f>
        <v>0.0006749999999999999</v>
      </c>
      <c r="H79" s="13">
        <f>I69</f>
        <v>111</v>
      </c>
      <c r="I79" s="35">
        <f>G79*H79</f>
        <v>0.07492499999999999</v>
      </c>
      <c r="J79" s="26"/>
      <c r="K79" s="21"/>
    </row>
    <row r="80" spans="1:11" ht="16.5">
      <c r="A80" s="6"/>
      <c r="B80" s="13" t="s">
        <v>157</v>
      </c>
      <c r="C80" s="34"/>
      <c r="D80" s="13"/>
      <c r="E80" s="13"/>
      <c r="F80" s="13"/>
      <c r="G80" s="13"/>
      <c r="H80" s="13"/>
      <c r="I80" s="35">
        <f>I79*15%</f>
        <v>0.011238749999999999</v>
      </c>
      <c r="J80" s="26"/>
      <c r="K80" s="21"/>
    </row>
    <row r="81" spans="1:11" ht="16.5">
      <c r="A81" s="6"/>
      <c r="B81" s="13" t="s">
        <v>158</v>
      </c>
      <c r="C81" s="34">
        <v>1</v>
      </c>
      <c r="D81" s="13">
        <v>1</v>
      </c>
      <c r="E81" s="13">
        <f>E79</f>
        <v>0.045</v>
      </c>
      <c r="F81" s="13"/>
      <c r="G81" s="13">
        <f>C81*D81*E81</f>
        <v>0.045</v>
      </c>
      <c r="H81" s="13"/>
      <c r="I81" s="13"/>
      <c r="J81" s="26"/>
      <c r="K81" s="21"/>
    </row>
    <row r="82" spans="1:11" ht="16.5">
      <c r="A82" s="6"/>
      <c r="B82" s="13"/>
      <c r="C82" s="34">
        <v>2</v>
      </c>
      <c r="D82" s="13">
        <v>1</v>
      </c>
      <c r="E82" s="13">
        <f>F79</f>
        <v>0.015</v>
      </c>
      <c r="F82" s="13"/>
      <c r="G82" s="13">
        <f>C82*D82*E82</f>
        <v>0.03</v>
      </c>
      <c r="H82" s="13"/>
      <c r="I82" s="13"/>
      <c r="J82" s="26"/>
      <c r="K82" s="21"/>
    </row>
    <row r="83" spans="1:11" ht="16.5">
      <c r="A83" s="6"/>
      <c r="B83" s="13"/>
      <c r="C83" s="34"/>
      <c r="D83" s="13"/>
      <c r="E83" s="13"/>
      <c r="F83" s="13"/>
      <c r="G83" s="13">
        <f>SUM(G81:G82)</f>
        <v>0.075</v>
      </c>
      <c r="H83" s="36">
        <f>$D$29</f>
        <v>200</v>
      </c>
      <c r="I83" s="35">
        <f>G83*H83</f>
        <v>15</v>
      </c>
      <c r="J83" s="26"/>
      <c r="K83" s="21"/>
    </row>
    <row r="84" spans="1:11" ht="16.5">
      <c r="A84" s="6"/>
      <c r="B84" s="13" t="s">
        <v>159</v>
      </c>
      <c r="C84" s="8"/>
      <c r="D84" s="13"/>
      <c r="E84" s="13"/>
      <c r="F84" s="13"/>
      <c r="G84" s="13"/>
      <c r="H84" s="13"/>
      <c r="I84" s="35">
        <f>SUM(I79:I83)</f>
        <v>15.08616375</v>
      </c>
      <c r="J84" s="26"/>
      <c r="K84" s="21"/>
    </row>
    <row r="85" spans="1:11" ht="16.5">
      <c r="A85" s="6"/>
      <c r="B85" s="10" t="s">
        <v>160</v>
      </c>
      <c r="C85" s="24"/>
      <c r="D85" s="13"/>
      <c r="E85" s="13"/>
      <c r="F85" s="13"/>
      <c r="G85" s="13"/>
      <c r="H85" s="13"/>
      <c r="I85" s="21">
        <f>ROUND(I84,0)</f>
        <v>15</v>
      </c>
      <c r="J85" s="26"/>
      <c r="K85" s="21"/>
    </row>
    <row r="86" spans="1:11" ht="16.5">
      <c r="A86" s="6"/>
      <c r="B86" s="10" t="s">
        <v>162</v>
      </c>
      <c r="C86" s="34"/>
      <c r="D86" s="13"/>
      <c r="E86" s="13"/>
      <c r="F86" s="13"/>
      <c r="G86" s="13"/>
      <c r="H86" s="13"/>
      <c r="I86" s="13"/>
      <c r="J86" s="26"/>
      <c r="K86" s="21"/>
    </row>
    <row r="87" spans="1:11" ht="16.5">
      <c r="A87" s="6"/>
      <c r="B87" s="13" t="s">
        <v>156</v>
      </c>
      <c r="C87" s="34">
        <v>1</v>
      </c>
      <c r="D87" s="13">
        <v>1</v>
      </c>
      <c r="E87" s="13">
        <v>0.05</v>
      </c>
      <c r="F87" s="13">
        <v>0.006</v>
      </c>
      <c r="G87" s="13">
        <f>C87*D87*E87*F87</f>
        <v>0.00030000000000000003</v>
      </c>
      <c r="H87" s="13">
        <f>I61</f>
        <v>60000</v>
      </c>
      <c r="I87" s="13">
        <f>G87*H87</f>
        <v>18</v>
      </c>
      <c r="J87" s="26"/>
      <c r="K87" s="21"/>
    </row>
    <row r="88" spans="1:11" ht="16.5">
      <c r="A88" s="6"/>
      <c r="B88" s="13" t="s">
        <v>163</v>
      </c>
      <c r="C88" s="34"/>
      <c r="D88" s="13"/>
      <c r="E88" s="13"/>
      <c r="F88" s="13"/>
      <c r="G88" s="13"/>
      <c r="H88" s="13"/>
      <c r="I88" s="35">
        <f>I87*10%</f>
        <v>1.8</v>
      </c>
      <c r="J88" s="26"/>
      <c r="K88" s="21"/>
    </row>
    <row r="89" spans="1:11" ht="16.5">
      <c r="A89" s="6"/>
      <c r="B89" s="13" t="s">
        <v>158</v>
      </c>
      <c r="C89" s="34">
        <v>1</v>
      </c>
      <c r="D89" s="13">
        <v>1</v>
      </c>
      <c r="E89" s="13">
        <f>E87</f>
        <v>0.05</v>
      </c>
      <c r="F89" s="13"/>
      <c r="G89" s="13">
        <f>C89*D89*E89</f>
        <v>0.05</v>
      </c>
      <c r="H89" s="13"/>
      <c r="I89" s="35"/>
      <c r="J89" s="26"/>
      <c r="K89" s="21"/>
    </row>
    <row r="90" spans="1:11" ht="16.5">
      <c r="A90" s="6"/>
      <c r="B90" s="13"/>
      <c r="C90" s="34">
        <v>1</v>
      </c>
      <c r="D90" s="13">
        <v>1</v>
      </c>
      <c r="E90" s="13">
        <f>F87</f>
        <v>0.006</v>
      </c>
      <c r="F90" s="13"/>
      <c r="G90" s="13">
        <f>C90*D90*E90</f>
        <v>0.006</v>
      </c>
      <c r="H90" s="13"/>
      <c r="I90" s="35"/>
      <c r="J90" s="26"/>
      <c r="K90" s="21"/>
    </row>
    <row r="91" spans="1:11" ht="16.5">
      <c r="A91" s="6"/>
      <c r="B91" s="13"/>
      <c r="C91" s="34"/>
      <c r="D91" s="13"/>
      <c r="E91" s="13"/>
      <c r="F91" s="13"/>
      <c r="G91" s="13">
        <f>SUM(G89:G90)</f>
        <v>0.056</v>
      </c>
      <c r="H91" s="36">
        <f>$D$29</f>
        <v>200</v>
      </c>
      <c r="I91" s="35">
        <f>G91*H91</f>
        <v>11.200000000000001</v>
      </c>
      <c r="J91" s="26"/>
      <c r="K91" s="21"/>
    </row>
    <row r="92" spans="1:11" ht="16.5">
      <c r="A92" s="6"/>
      <c r="B92" s="13" t="s">
        <v>159</v>
      </c>
      <c r="C92" s="8"/>
      <c r="D92" s="13"/>
      <c r="E92" s="13"/>
      <c r="F92" s="13"/>
      <c r="G92" s="13"/>
      <c r="H92" s="13"/>
      <c r="I92" s="35">
        <f>SUM(I87:I91)</f>
        <v>31</v>
      </c>
      <c r="J92" s="26"/>
      <c r="K92" s="21"/>
    </row>
    <row r="93" spans="1:11" ht="16.5">
      <c r="A93" s="6"/>
      <c r="B93" s="10" t="s">
        <v>160</v>
      </c>
      <c r="C93" s="24"/>
      <c r="D93" s="13"/>
      <c r="E93" s="13"/>
      <c r="F93" s="13"/>
      <c r="G93" s="13"/>
      <c r="H93" s="13"/>
      <c r="I93" s="21">
        <f>ROUND(I92,0)</f>
        <v>31</v>
      </c>
      <c r="J93" s="26"/>
      <c r="K93" s="21"/>
    </row>
    <row r="94" spans="1:11" ht="16.5">
      <c r="A94" s="6"/>
      <c r="B94" s="10" t="s">
        <v>323</v>
      </c>
      <c r="C94" s="34"/>
      <c r="D94" s="13"/>
      <c r="E94" s="13"/>
      <c r="F94" s="13"/>
      <c r="G94" s="13"/>
      <c r="H94" s="13"/>
      <c r="I94" s="13"/>
      <c r="J94" s="26"/>
      <c r="K94" s="21"/>
    </row>
    <row r="95" spans="1:11" ht="16.5">
      <c r="A95" s="6"/>
      <c r="B95" s="13" t="s">
        <v>156</v>
      </c>
      <c r="C95" s="34">
        <v>1</v>
      </c>
      <c r="D95" s="13">
        <v>1</v>
      </c>
      <c r="E95" s="13">
        <v>0.045</v>
      </c>
      <c r="F95" s="13">
        <v>0.045</v>
      </c>
      <c r="G95" s="13">
        <f>C95*D95*E95*F95</f>
        <v>0.002025</v>
      </c>
      <c r="H95" s="13">
        <f>I61</f>
        <v>60000</v>
      </c>
      <c r="I95" s="36">
        <f>G95*H95</f>
        <v>121.5</v>
      </c>
      <c r="J95" s="26"/>
      <c r="K95" s="21"/>
    </row>
    <row r="96" spans="1:11" ht="16.5">
      <c r="A96" s="6"/>
      <c r="B96" s="13" t="s">
        <v>157</v>
      </c>
      <c r="C96" s="34"/>
      <c r="D96" s="13"/>
      <c r="E96" s="13"/>
      <c r="F96" s="13"/>
      <c r="G96" s="13"/>
      <c r="H96" s="13"/>
      <c r="I96" s="36">
        <f>I95*15%</f>
        <v>18.224999999999998</v>
      </c>
      <c r="J96" s="26"/>
      <c r="K96" s="21"/>
    </row>
    <row r="97" spans="1:11" ht="16.5">
      <c r="A97" s="6"/>
      <c r="B97" s="13" t="s">
        <v>158</v>
      </c>
      <c r="C97" s="34">
        <v>1</v>
      </c>
      <c r="D97" s="13">
        <v>1</v>
      </c>
      <c r="E97" s="13">
        <f>E95</f>
        <v>0.045</v>
      </c>
      <c r="F97" s="13"/>
      <c r="G97" s="13">
        <f>C97*D97*E97</f>
        <v>0.045</v>
      </c>
      <c r="H97" s="13"/>
      <c r="I97" s="36"/>
      <c r="J97" s="26"/>
      <c r="K97" s="21"/>
    </row>
    <row r="98" spans="1:11" ht="16.5">
      <c r="A98" s="6"/>
      <c r="B98" s="13"/>
      <c r="C98" s="34">
        <v>2</v>
      </c>
      <c r="D98" s="13">
        <v>1</v>
      </c>
      <c r="E98" s="13">
        <f>F95</f>
        <v>0.045</v>
      </c>
      <c r="F98" s="13"/>
      <c r="G98" s="13">
        <f>C98*D98*E98</f>
        <v>0.09</v>
      </c>
      <c r="H98" s="13"/>
      <c r="I98" s="36"/>
      <c r="J98" s="26"/>
      <c r="K98" s="21"/>
    </row>
    <row r="99" spans="1:11" ht="16.5">
      <c r="A99" s="6"/>
      <c r="B99" s="13"/>
      <c r="C99" s="34"/>
      <c r="D99" s="13"/>
      <c r="E99" s="13"/>
      <c r="F99" s="13"/>
      <c r="G99" s="13">
        <f>SUM(G97:G98)</f>
        <v>0.135</v>
      </c>
      <c r="H99" s="36">
        <f>$D$29</f>
        <v>200</v>
      </c>
      <c r="I99" s="36">
        <f>G99*H99</f>
        <v>27</v>
      </c>
      <c r="J99" s="26"/>
      <c r="K99" s="21"/>
    </row>
    <row r="100" spans="1:11" ht="16.5">
      <c r="A100" s="6"/>
      <c r="B100" s="13" t="s">
        <v>159</v>
      </c>
      <c r="C100" s="8"/>
      <c r="D100" s="13"/>
      <c r="E100" s="13"/>
      <c r="F100" s="13"/>
      <c r="G100" s="13"/>
      <c r="H100" s="13"/>
      <c r="I100" s="36">
        <f>SUM(I95:I99)</f>
        <v>166.725</v>
      </c>
      <c r="J100" s="26"/>
      <c r="K100" s="21"/>
    </row>
    <row r="101" spans="1:11" ht="16.5">
      <c r="A101" s="6"/>
      <c r="B101" s="10" t="s">
        <v>160</v>
      </c>
      <c r="C101" s="24"/>
      <c r="D101" s="13"/>
      <c r="E101" s="13"/>
      <c r="F101" s="13"/>
      <c r="G101" s="13"/>
      <c r="H101" s="13"/>
      <c r="I101" s="21">
        <f>ROUND(I100,0)</f>
        <v>167</v>
      </c>
      <c r="J101" s="26"/>
      <c r="K101" s="21"/>
    </row>
    <row r="102" spans="1:11" ht="16.5">
      <c r="A102" s="6"/>
      <c r="B102" s="10" t="s">
        <v>164</v>
      </c>
      <c r="C102" s="34"/>
      <c r="D102" s="13"/>
      <c r="E102" s="13"/>
      <c r="F102" s="13"/>
      <c r="G102" s="13"/>
      <c r="H102" s="13"/>
      <c r="I102" s="13"/>
      <c r="J102" s="26"/>
      <c r="K102" s="21"/>
    </row>
    <row r="103" spans="1:11" ht="16.5">
      <c r="A103" s="6"/>
      <c r="B103" s="13" t="s">
        <v>156</v>
      </c>
      <c r="C103" s="34">
        <v>1</v>
      </c>
      <c r="D103" s="13">
        <v>1</v>
      </c>
      <c r="E103" s="13">
        <v>0.035</v>
      </c>
      <c r="F103" s="13">
        <v>0.006</v>
      </c>
      <c r="G103" s="13">
        <f>C103*D103*E103*F103</f>
        <v>0.00021000000000000004</v>
      </c>
      <c r="H103" s="13">
        <f>I61</f>
        <v>60000</v>
      </c>
      <c r="I103" s="35">
        <f>G103*H103</f>
        <v>12.600000000000001</v>
      </c>
      <c r="J103" s="26"/>
      <c r="K103" s="21"/>
    </row>
    <row r="104" spans="1:11" ht="16.5">
      <c r="A104" s="6"/>
      <c r="B104" s="13" t="s">
        <v>157</v>
      </c>
      <c r="C104" s="34"/>
      <c r="D104" s="13"/>
      <c r="E104" s="13"/>
      <c r="F104" s="13"/>
      <c r="G104" s="13"/>
      <c r="H104" s="13"/>
      <c r="I104" s="35">
        <f>I103*15%</f>
        <v>1.8900000000000001</v>
      </c>
      <c r="J104" s="26"/>
      <c r="K104" s="21"/>
    </row>
    <row r="105" spans="1:11" ht="16.5">
      <c r="A105" s="6"/>
      <c r="B105" s="13" t="s">
        <v>158</v>
      </c>
      <c r="C105" s="34">
        <v>1</v>
      </c>
      <c r="D105" s="13">
        <v>1</v>
      </c>
      <c r="E105" s="13">
        <f>E103</f>
        <v>0.035</v>
      </c>
      <c r="F105" s="13"/>
      <c r="G105" s="13">
        <f>C105*D105*E105</f>
        <v>0.035</v>
      </c>
      <c r="H105" s="13"/>
      <c r="I105" s="13"/>
      <c r="J105" s="26"/>
      <c r="K105" s="21"/>
    </row>
    <row r="106" spans="1:11" ht="16.5">
      <c r="A106" s="6"/>
      <c r="B106" s="13"/>
      <c r="C106" s="34">
        <v>2</v>
      </c>
      <c r="D106" s="13">
        <v>1</v>
      </c>
      <c r="E106" s="13">
        <f>F103</f>
        <v>0.006</v>
      </c>
      <c r="F106" s="13"/>
      <c r="G106" s="13">
        <f>C106*D106*E106</f>
        <v>0.012</v>
      </c>
      <c r="H106" s="13"/>
      <c r="I106" s="13"/>
      <c r="J106" s="26"/>
      <c r="K106" s="21"/>
    </row>
    <row r="107" spans="1:11" ht="16.5">
      <c r="A107" s="6"/>
      <c r="B107" s="13"/>
      <c r="C107" s="34"/>
      <c r="D107" s="13"/>
      <c r="E107" s="13"/>
      <c r="F107" s="13"/>
      <c r="G107" s="13">
        <f>SUM(G105:G106)</f>
        <v>0.047</v>
      </c>
      <c r="H107" s="36">
        <f>$D$29</f>
        <v>200</v>
      </c>
      <c r="I107" s="35">
        <f>G107*H107</f>
        <v>9.4</v>
      </c>
      <c r="J107" s="26"/>
      <c r="K107" s="21"/>
    </row>
    <row r="108" spans="1:11" ht="16.5">
      <c r="A108" s="6"/>
      <c r="B108" s="13" t="s">
        <v>159</v>
      </c>
      <c r="C108" s="8"/>
      <c r="D108" s="13"/>
      <c r="E108" s="13"/>
      <c r="F108" s="13"/>
      <c r="G108" s="13"/>
      <c r="H108" s="13"/>
      <c r="I108" s="35">
        <f>SUM(I103:I107)</f>
        <v>23.89</v>
      </c>
      <c r="J108" s="26"/>
      <c r="K108" s="21"/>
    </row>
    <row r="109" spans="1:11" ht="16.5">
      <c r="A109" s="6"/>
      <c r="B109" s="10" t="s">
        <v>160</v>
      </c>
      <c r="C109" s="24"/>
      <c r="D109" s="13"/>
      <c r="E109" s="13"/>
      <c r="F109" s="13"/>
      <c r="G109" s="13"/>
      <c r="H109" s="13"/>
      <c r="I109" s="21">
        <f>ROUND(I108,0)</f>
        <v>24</v>
      </c>
      <c r="J109" s="26"/>
      <c r="K109" s="21"/>
    </row>
    <row r="110" spans="1:11" ht="16.5">
      <c r="A110" s="6"/>
      <c r="B110" s="10" t="s">
        <v>165</v>
      </c>
      <c r="C110" s="34"/>
      <c r="D110" s="13"/>
      <c r="E110" s="13"/>
      <c r="F110" s="13"/>
      <c r="G110" s="13"/>
      <c r="H110" s="13"/>
      <c r="I110" s="13"/>
      <c r="J110" s="26"/>
      <c r="K110" s="21"/>
    </row>
    <row r="111" spans="1:11" ht="16.5">
      <c r="A111" s="6"/>
      <c r="B111" s="13" t="s">
        <v>156</v>
      </c>
      <c r="C111" s="34">
        <v>1</v>
      </c>
      <c r="D111" s="13">
        <v>1</v>
      </c>
      <c r="E111" s="13">
        <v>0.018</v>
      </c>
      <c r="F111" s="13">
        <v>0.006</v>
      </c>
      <c r="G111" s="13">
        <f>C111*D111*E111*F111</f>
        <v>0.000108</v>
      </c>
      <c r="H111" s="13">
        <f>$I$61</f>
        <v>60000</v>
      </c>
      <c r="I111" s="13">
        <f>G111*H111</f>
        <v>6.4799999999999995</v>
      </c>
      <c r="J111" s="26"/>
      <c r="K111" s="21"/>
    </row>
    <row r="112" spans="1:11" ht="16.5">
      <c r="A112" s="6"/>
      <c r="B112" s="13" t="s">
        <v>163</v>
      </c>
      <c r="C112" s="34"/>
      <c r="D112" s="13"/>
      <c r="E112" s="13"/>
      <c r="F112" s="13"/>
      <c r="G112" s="13"/>
      <c r="H112" s="13"/>
      <c r="I112" s="35">
        <f>I111*10%</f>
        <v>0.648</v>
      </c>
      <c r="J112" s="26"/>
      <c r="K112" s="21"/>
    </row>
    <row r="113" spans="1:11" ht="16.5">
      <c r="A113" s="6"/>
      <c r="B113" s="13" t="s">
        <v>158</v>
      </c>
      <c r="C113" s="34">
        <v>1</v>
      </c>
      <c r="D113" s="13">
        <v>1</v>
      </c>
      <c r="E113" s="13">
        <f>E111</f>
        <v>0.018</v>
      </c>
      <c r="F113" s="13"/>
      <c r="G113" s="13">
        <f>C113*D113*E113</f>
        <v>0.018</v>
      </c>
      <c r="H113" s="13"/>
      <c r="I113" s="35"/>
      <c r="J113" s="26"/>
      <c r="K113" s="21"/>
    </row>
    <row r="114" spans="1:11" ht="16.5">
      <c r="A114" s="6"/>
      <c r="B114" s="13"/>
      <c r="C114" s="34">
        <v>1</v>
      </c>
      <c r="D114" s="13">
        <v>1</v>
      </c>
      <c r="E114" s="13">
        <f>F111</f>
        <v>0.006</v>
      </c>
      <c r="F114" s="13"/>
      <c r="G114" s="13">
        <f>C114*D114*E114</f>
        <v>0.006</v>
      </c>
      <c r="H114" s="13"/>
      <c r="I114" s="35"/>
      <c r="J114" s="26"/>
      <c r="K114" s="21"/>
    </row>
    <row r="115" spans="1:11" ht="16.5">
      <c r="A115" s="6"/>
      <c r="B115" s="13"/>
      <c r="C115" s="34"/>
      <c r="D115" s="13"/>
      <c r="E115" s="13"/>
      <c r="F115" s="13"/>
      <c r="G115" s="13">
        <f>SUM(G113:G114)</f>
        <v>0.024</v>
      </c>
      <c r="H115" s="36">
        <f>$D$29</f>
        <v>200</v>
      </c>
      <c r="I115" s="35">
        <f>G115*H115</f>
        <v>4.8</v>
      </c>
      <c r="J115" s="26"/>
      <c r="K115" s="21"/>
    </row>
    <row r="116" spans="1:11" ht="16.5">
      <c r="A116" s="6"/>
      <c r="B116" s="13" t="s">
        <v>159</v>
      </c>
      <c r="C116" s="8"/>
      <c r="D116" s="13"/>
      <c r="E116" s="13"/>
      <c r="F116" s="13"/>
      <c r="G116" s="13"/>
      <c r="H116" s="13"/>
      <c r="I116" s="35">
        <f>SUM(I111:I115)</f>
        <v>11.927999999999999</v>
      </c>
      <c r="J116" s="26"/>
      <c r="K116" s="21"/>
    </row>
    <row r="117" spans="1:11" ht="16.5">
      <c r="A117" s="6"/>
      <c r="B117" s="10" t="s">
        <v>160</v>
      </c>
      <c r="C117" s="24"/>
      <c r="D117" s="13"/>
      <c r="E117" s="13"/>
      <c r="F117" s="13"/>
      <c r="G117" s="13"/>
      <c r="H117" s="13"/>
      <c r="I117" s="21">
        <f>ROUND(I116,0)</f>
        <v>12</v>
      </c>
      <c r="J117" s="26"/>
      <c r="K117" s="21"/>
    </row>
    <row r="118" spans="1:11" ht="16.5">
      <c r="A118" s="6"/>
      <c r="B118" s="10" t="s">
        <v>166</v>
      </c>
      <c r="C118" s="34"/>
      <c r="D118" s="13"/>
      <c r="E118" s="13"/>
      <c r="F118" s="13"/>
      <c r="G118" s="13"/>
      <c r="H118" s="13"/>
      <c r="I118" s="13"/>
      <c r="J118" s="26"/>
      <c r="K118" s="21"/>
    </row>
    <row r="119" spans="1:11" ht="16.5">
      <c r="A119" s="6"/>
      <c r="B119" s="13" t="s">
        <v>156</v>
      </c>
      <c r="C119" s="34">
        <v>1</v>
      </c>
      <c r="D119" s="13">
        <v>1</v>
      </c>
      <c r="E119" s="13">
        <v>0.012</v>
      </c>
      <c r="F119" s="13">
        <v>0.006</v>
      </c>
      <c r="G119" s="13">
        <f>C119*D119*E119*F119</f>
        <v>7.2E-05</v>
      </c>
      <c r="H119" s="13">
        <f>$I$61</f>
        <v>60000</v>
      </c>
      <c r="I119" s="13">
        <f>G119*H119</f>
        <v>4.32</v>
      </c>
      <c r="J119" s="26"/>
      <c r="K119" s="21"/>
    </row>
    <row r="120" spans="1:11" ht="16.5">
      <c r="A120" s="6"/>
      <c r="B120" s="13" t="s">
        <v>163</v>
      </c>
      <c r="C120" s="34"/>
      <c r="D120" s="13"/>
      <c r="E120" s="13"/>
      <c r="F120" s="13"/>
      <c r="G120" s="13"/>
      <c r="H120" s="13"/>
      <c r="I120" s="35">
        <f>I119*10%</f>
        <v>0.43200000000000005</v>
      </c>
      <c r="J120" s="26"/>
      <c r="K120" s="21"/>
    </row>
    <row r="121" spans="1:11" ht="16.5">
      <c r="A121" s="6"/>
      <c r="B121" s="13" t="s">
        <v>158</v>
      </c>
      <c r="C121" s="34">
        <v>1</v>
      </c>
      <c r="D121" s="13">
        <v>1</v>
      </c>
      <c r="E121" s="13">
        <f>E119</f>
        <v>0.012</v>
      </c>
      <c r="F121" s="13"/>
      <c r="G121" s="13">
        <f>C121*D121*E121</f>
        <v>0.012</v>
      </c>
      <c r="H121" s="13"/>
      <c r="I121" s="35"/>
      <c r="J121" s="26"/>
      <c r="K121" s="21"/>
    </row>
    <row r="122" spans="1:11" ht="16.5">
      <c r="A122" s="6"/>
      <c r="B122" s="13"/>
      <c r="C122" s="34">
        <v>1</v>
      </c>
      <c r="D122" s="13">
        <v>1</v>
      </c>
      <c r="E122" s="13">
        <f>F119</f>
        <v>0.006</v>
      </c>
      <c r="F122" s="13"/>
      <c r="G122" s="13">
        <f>C122*D122*E122</f>
        <v>0.006</v>
      </c>
      <c r="H122" s="13"/>
      <c r="I122" s="35"/>
      <c r="J122" s="26"/>
      <c r="K122" s="21"/>
    </row>
    <row r="123" spans="1:11" ht="16.5">
      <c r="A123" s="6"/>
      <c r="B123" s="13"/>
      <c r="C123" s="34"/>
      <c r="D123" s="13"/>
      <c r="E123" s="13"/>
      <c r="F123" s="13"/>
      <c r="G123" s="13">
        <f>SUM(G121:G122)</f>
        <v>0.018000000000000002</v>
      </c>
      <c r="H123" s="36">
        <f>$D$29</f>
        <v>200</v>
      </c>
      <c r="I123" s="35">
        <f>G123*H123</f>
        <v>3.6000000000000005</v>
      </c>
      <c r="J123" s="26"/>
      <c r="K123" s="21"/>
    </row>
    <row r="124" spans="1:11" ht="16.5">
      <c r="A124" s="6"/>
      <c r="B124" s="13" t="s">
        <v>159</v>
      </c>
      <c r="C124" s="8"/>
      <c r="D124" s="13"/>
      <c r="E124" s="13"/>
      <c r="F124" s="13"/>
      <c r="G124" s="13"/>
      <c r="H124" s="13"/>
      <c r="I124" s="35">
        <f>SUM(I119:I123)</f>
        <v>8.352</v>
      </c>
      <c r="J124" s="26"/>
      <c r="K124" s="21"/>
    </row>
    <row r="125" spans="1:11" ht="16.5">
      <c r="A125" s="6"/>
      <c r="B125" s="10" t="s">
        <v>160</v>
      </c>
      <c r="C125" s="24"/>
      <c r="D125" s="13"/>
      <c r="E125" s="13"/>
      <c r="F125" s="13"/>
      <c r="G125" s="13"/>
      <c r="H125" s="13"/>
      <c r="I125" s="21">
        <f>ROUND(I124,0)+1</f>
        <v>9</v>
      </c>
      <c r="J125" s="26"/>
      <c r="K125" s="21"/>
    </row>
    <row r="126" spans="1:11" ht="16.5">
      <c r="A126" s="6"/>
      <c r="B126" s="10" t="s">
        <v>167</v>
      </c>
      <c r="C126" s="34"/>
      <c r="D126" s="13"/>
      <c r="E126" s="13"/>
      <c r="F126" s="13"/>
      <c r="G126" s="13"/>
      <c r="H126" s="13"/>
      <c r="I126" s="13"/>
      <c r="J126" s="26"/>
      <c r="K126" s="21"/>
    </row>
    <row r="127" spans="1:11" ht="16.5">
      <c r="A127" s="6"/>
      <c r="B127" s="13" t="s">
        <v>156</v>
      </c>
      <c r="C127" s="34">
        <v>1</v>
      </c>
      <c r="D127" s="13">
        <v>1</v>
      </c>
      <c r="E127" s="13">
        <v>0.012</v>
      </c>
      <c r="F127" s="13">
        <v>0.012</v>
      </c>
      <c r="G127" s="13">
        <f>C127*D127*E127*F127</f>
        <v>0.000144</v>
      </c>
      <c r="H127" s="13">
        <f>$I$61</f>
        <v>60000</v>
      </c>
      <c r="I127" s="13">
        <f>G127*H127</f>
        <v>8.64</v>
      </c>
      <c r="J127" s="26"/>
      <c r="K127" s="21"/>
    </row>
    <row r="128" spans="1:11" ht="16.5">
      <c r="A128" s="6"/>
      <c r="B128" s="13" t="s">
        <v>163</v>
      </c>
      <c r="C128" s="34"/>
      <c r="D128" s="13"/>
      <c r="E128" s="13"/>
      <c r="F128" s="13"/>
      <c r="G128" s="13"/>
      <c r="H128" s="13"/>
      <c r="I128" s="35">
        <f>I127*10%</f>
        <v>0.8640000000000001</v>
      </c>
      <c r="J128" s="26"/>
      <c r="K128" s="21"/>
    </row>
    <row r="129" spans="1:11" ht="16.5">
      <c r="A129" s="6"/>
      <c r="B129" s="13" t="s">
        <v>158</v>
      </c>
      <c r="C129" s="34">
        <v>1</v>
      </c>
      <c r="D129" s="13">
        <v>1</v>
      </c>
      <c r="E129" s="13">
        <f>E127</f>
        <v>0.012</v>
      </c>
      <c r="F129" s="13"/>
      <c r="G129" s="13">
        <f>C129*D129*E129</f>
        <v>0.012</v>
      </c>
      <c r="H129" s="13"/>
      <c r="I129" s="35"/>
      <c r="J129" s="26"/>
      <c r="K129" s="21"/>
    </row>
    <row r="130" spans="1:11" ht="16.5">
      <c r="A130" s="6"/>
      <c r="B130" s="13"/>
      <c r="C130" s="34">
        <v>1</v>
      </c>
      <c r="D130" s="13">
        <v>1</v>
      </c>
      <c r="E130" s="13">
        <f>F127</f>
        <v>0.012</v>
      </c>
      <c r="F130" s="13"/>
      <c r="G130" s="13">
        <f>C130*D130*E130</f>
        <v>0.012</v>
      </c>
      <c r="H130" s="13"/>
      <c r="I130" s="35"/>
      <c r="J130" s="26"/>
      <c r="K130" s="21"/>
    </row>
    <row r="131" spans="1:11" ht="16.5">
      <c r="A131" s="6"/>
      <c r="B131" s="13"/>
      <c r="C131" s="34"/>
      <c r="D131" s="13"/>
      <c r="E131" s="13"/>
      <c r="F131" s="13"/>
      <c r="G131" s="13">
        <f>SUM(G129:G130)</f>
        <v>0.024</v>
      </c>
      <c r="H131" s="36">
        <f>$D$29</f>
        <v>200</v>
      </c>
      <c r="I131" s="35">
        <f>G131*H131</f>
        <v>4.8</v>
      </c>
      <c r="J131" s="26"/>
      <c r="K131" s="21"/>
    </row>
    <row r="132" spans="1:11" ht="16.5">
      <c r="A132" s="6"/>
      <c r="B132" s="13" t="s">
        <v>159</v>
      </c>
      <c r="C132" s="8"/>
      <c r="D132" s="13"/>
      <c r="E132" s="13"/>
      <c r="F132" s="13"/>
      <c r="G132" s="13"/>
      <c r="H132" s="13"/>
      <c r="I132" s="35">
        <f>SUM(I127:I131)</f>
        <v>14.304000000000002</v>
      </c>
      <c r="J132" s="26"/>
      <c r="K132" s="21"/>
    </row>
    <row r="133" spans="1:11" ht="16.5">
      <c r="A133" s="6"/>
      <c r="B133" s="10" t="s">
        <v>160</v>
      </c>
      <c r="C133" s="24"/>
      <c r="D133" s="13"/>
      <c r="E133" s="13"/>
      <c r="F133" s="13"/>
      <c r="G133" s="13"/>
      <c r="H133" s="13"/>
      <c r="I133" s="21">
        <f>ROUND(I132,0)</f>
        <v>14</v>
      </c>
      <c r="J133" s="26"/>
      <c r="K133" s="21"/>
    </row>
    <row r="134" spans="1:11" ht="16.5">
      <c r="A134" s="6"/>
      <c r="B134" s="139"/>
      <c r="C134" s="6"/>
      <c r="D134" s="23"/>
      <c r="E134" s="24"/>
      <c r="F134" s="25"/>
      <c r="G134" s="13"/>
      <c r="H134" s="25"/>
      <c r="I134" s="14"/>
      <c r="J134" s="26"/>
      <c r="K134" s="21"/>
    </row>
    <row r="135" spans="1:11" ht="16.5">
      <c r="A135" s="337" t="s">
        <v>168</v>
      </c>
      <c r="B135" s="337"/>
      <c r="C135" s="337"/>
      <c r="D135" s="337"/>
      <c r="E135" s="337"/>
      <c r="F135" s="13"/>
      <c r="G135" s="13"/>
      <c r="H135" s="13"/>
      <c r="I135" s="14"/>
      <c r="J135" s="15"/>
      <c r="K135" s="13"/>
    </row>
    <row r="136" spans="1:11" ht="56.25" customHeight="1">
      <c r="A136" s="12" t="s">
        <v>169</v>
      </c>
      <c r="B136" s="12" t="s">
        <v>170</v>
      </c>
      <c r="C136" s="25" t="s">
        <v>171</v>
      </c>
      <c r="D136" s="25" t="s">
        <v>172</v>
      </c>
      <c r="E136" s="25" t="s">
        <v>173</v>
      </c>
      <c r="F136" s="25" t="s">
        <v>0</v>
      </c>
      <c r="G136" s="25" t="s">
        <v>174</v>
      </c>
      <c r="H136" s="25" t="s">
        <v>175</v>
      </c>
      <c r="I136" s="37" t="s">
        <v>176</v>
      </c>
      <c r="J136" s="38" t="s">
        <v>177</v>
      </c>
      <c r="K136" s="39" t="s">
        <v>178</v>
      </c>
    </row>
    <row r="137" spans="1:11" ht="16.5">
      <c r="A137" s="129">
        <v>1</v>
      </c>
      <c r="B137" s="40" t="s">
        <v>13</v>
      </c>
      <c r="C137" s="25"/>
      <c r="D137" s="25"/>
      <c r="E137" s="25"/>
      <c r="F137" s="25"/>
      <c r="G137" s="25"/>
      <c r="H137" s="25"/>
      <c r="I137" s="37"/>
      <c r="J137" s="38"/>
      <c r="K137" s="39"/>
    </row>
    <row r="138" spans="1:11" ht="16.5">
      <c r="A138" s="129">
        <v>1</v>
      </c>
      <c r="B138" s="40" t="s">
        <v>3</v>
      </c>
      <c r="C138" s="47"/>
      <c r="D138" s="47"/>
      <c r="E138" s="47">
        <v>3</v>
      </c>
      <c r="F138" s="56" t="s">
        <v>225</v>
      </c>
      <c r="G138" s="57">
        <v>2.7</v>
      </c>
      <c r="H138" s="57" t="s">
        <v>225</v>
      </c>
      <c r="I138" s="58">
        <f>G138*E138</f>
        <v>8.100000000000001</v>
      </c>
      <c r="J138" s="44"/>
      <c r="K138" s="44"/>
    </row>
    <row r="139" spans="1:11" ht="16.5">
      <c r="A139" s="145"/>
      <c r="B139" s="338" t="s">
        <v>226</v>
      </c>
      <c r="C139" s="338"/>
      <c r="D139" s="338"/>
      <c r="E139" s="47">
        <v>3</v>
      </c>
      <c r="F139" s="47" t="s">
        <v>225</v>
      </c>
      <c r="G139" s="57"/>
      <c r="H139" s="57"/>
      <c r="I139" s="59"/>
      <c r="J139" s="44"/>
      <c r="K139" s="44"/>
    </row>
    <row r="140" spans="1:11" ht="15.75">
      <c r="A140" s="145"/>
      <c r="B140" s="60" t="s">
        <v>227</v>
      </c>
      <c r="C140" s="50">
        <f>E138/0.6</f>
        <v>5</v>
      </c>
      <c r="D140" s="30">
        <v>3</v>
      </c>
      <c r="E140" s="30"/>
      <c r="F140" s="30">
        <f>C140*D140</f>
        <v>15</v>
      </c>
      <c r="G140" s="30">
        <v>5</v>
      </c>
      <c r="H140" s="42">
        <f>F140*G140%</f>
        <v>0.75</v>
      </c>
      <c r="I140" s="43">
        <f>F140+H140</f>
        <v>15.75</v>
      </c>
      <c r="J140" s="44">
        <v>85</v>
      </c>
      <c r="K140" s="44">
        <f>+J140*I140</f>
        <v>1338.75</v>
      </c>
    </row>
    <row r="141" spans="1:11" ht="15.75">
      <c r="A141" s="145"/>
      <c r="B141" s="60" t="s">
        <v>228</v>
      </c>
      <c r="C141" s="50">
        <f>G138/0.6</f>
        <v>4.500000000000001</v>
      </c>
      <c r="D141" s="60">
        <f>E138</f>
        <v>3</v>
      </c>
      <c r="E141" s="60"/>
      <c r="F141" s="30">
        <f>C141*D141</f>
        <v>13.500000000000004</v>
      </c>
      <c r="G141" s="30">
        <v>5</v>
      </c>
      <c r="H141" s="42">
        <f>F141*G141%</f>
        <v>0.6750000000000003</v>
      </c>
      <c r="I141" s="43">
        <f>F141+H141</f>
        <v>14.175000000000004</v>
      </c>
      <c r="J141" s="44">
        <v>85</v>
      </c>
      <c r="K141" s="44">
        <f>+J141*I141</f>
        <v>1204.8750000000005</v>
      </c>
    </row>
    <row r="142" spans="1:11" ht="15.75">
      <c r="A142" s="145"/>
      <c r="B142" s="139" t="s">
        <v>112</v>
      </c>
      <c r="C142" s="50">
        <v>1</v>
      </c>
      <c r="D142" s="60">
        <f>E138-0.3</f>
        <v>2.7</v>
      </c>
      <c r="E142" s="60">
        <v>1.15</v>
      </c>
      <c r="F142" s="30">
        <f>C142*D142*E142</f>
        <v>3.105</v>
      </c>
      <c r="G142" s="30"/>
      <c r="H142" s="42">
        <f>F142*G142%</f>
        <v>0</v>
      </c>
      <c r="I142" s="43">
        <f>F142+H142</f>
        <v>3.105</v>
      </c>
      <c r="J142" s="44">
        <f>$D$22</f>
        <v>800</v>
      </c>
      <c r="K142" s="44">
        <f>+J142*I142</f>
        <v>2484</v>
      </c>
    </row>
    <row r="143" spans="1:11" ht="15.75">
      <c r="A143" s="145"/>
      <c r="B143" s="139" t="s">
        <v>99</v>
      </c>
      <c r="C143" s="60">
        <v>2</v>
      </c>
      <c r="D143" s="60">
        <f>E138</f>
        <v>3</v>
      </c>
      <c r="E143" s="60">
        <f>G138</f>
        <v>2.7</v>
      </c>
      <c r="F143" s="30">
        <f>C143*D143*E143</f>
        <v>16.200000000000003</v>
      </c>
      <c r="G143" s="30"/>
      <c r="H143" s="42"/>
      <c r="I143" s="43"/>
      <c r="J143" s="44"/>
      <c r="K143" s="44"/>
    </row>
    <row r="144" spans="1:11" ht="15.75">
      <c r="A144" s="145"/>
      <c r="B144" s="139"/>
      <c r="C144" s="50">
        <v>-2</v>
      </c>
      <c r="D144" s="60">
        <f>D142</f>
        <v>2.7</v>
      </c>
      <c r="E144" s="60">
        <v>1.15</v>
      </c>
      <c r="F144" s="30">
        <f>C144*D144*E144</f>
        <v>-6.21</v>
      </c>
      <c r="G144" s="30"/>
      <c r="H144" s="42"/>
      <c r="I144" s="43"/>
      <c r="J144" s="44"/>
      <c r="K144" s="44"/>
    </row>
    <row r="145" spans="1:11" ht="15.75">
      <c r="A145" s="145"/>
      <c r="B145" s="139"/>
      <c r="C145" s="60"/>
      <c r="D145" s="60"/>
      <c r="E145" s="60"/>
      <c r="F145" s="30">
        <f>SUM(F143:F144)</f>
        <v>9.990000000000002</v>
      </c>
      <c r="G145" s="30">
        <v>5</v>
      </c>
      <c r="H145" s="42">
        <f>F145*G145%</f>
        <v>0.4995000000000001</v>
      </c>
      <c r="I145" s="43">
        <f>F145+H145</f>
        <v>10.489500000000001</v>
      </c>
      <c r="J145" s="44">
        <f>$D$9</f>
        <v>550</v>
      </c>
      <c r="K145" s="44">
        <f>+J145*I145</f>
        <v>5769.225</v>
      </c>
    </row>
    <row r="146" spans="1:11" ht="15.75">
      <c r="A146" s="145"/>
      <c r="B146" s="139" t="s">
        <v>104</v>
      </c>
      <c r="C146" s="60">
        <v>2</v>
      </c>
      <c r="D146" s="60">
        <f>D140</f>
        <v>3</v>
      </c>
      <c r="E146" s="60">
        <f>G138-0.35</f>
        <v>2.35</v>
      </c>
      <c r="F146" s="30">
        <f>C146*D146*E146</f>
        <v>14.100000000000001</v>
      </c>
      <c r="G146" s="60"/>
      <c r="H146" s="30"/>
      <c r="I146" s="43"/>
      <c r="J146" s="44"/>
      <c r="K146" s="44"/>
    </row>
    <row r="147" spans="1:11" ht="15.75">
      <c r="A147" s="145"/>
      <c r="B147" s="139"/>
      <c r="C147" s="60">
        <v>-2</v>
      </c>
      <c r="D147" s="60">
        <f>D144</f>
        <v>2.7</v>
      </c>
      <c r="E147" s="60">
        <f>E144</f>
        <v>1.15</v>
      </c>
      <c r="F147" s="30">
        <f>C147*D147*E147</f>
        <v>-6.21</v>
      </c>
      <c r="G147" s="60"/>
      <c r="H147" s="30"/>
      <c r="I147" s="43"/>
      <c r="J147" s="44"/>
      <c r="K147" s="44"/>
    </row>
    <row r="148" spans="1:11" ht="15.75">
      <c r="A148" s="145"/>
      <c r="B148" s="139"/>
      <c r="C148" s="60"/>
      <c r="D148" s="60"/>
      <c r="E148" s="60"/>
      <c r="F148" s="30">
        <f>SUM(F146:F147)</f>
        <v>7.8900000000000015</v>
      </c>
      <c r="G148" s="60">
        <v>10</v>
      </c>
      <c r="H148" s="30">
        <f>F148*G148%</f>
        <v>0.7890000000000001</v>
      </c>
      <c r="I148" s="43">
        <f>F148+H148</f>
        <v>8.679000000000002</v>
      </c>
      <c r="J148" s="44">
        <f>$D$15</f>
        <v>550</v>
      </c>
      <c r="K148" s="44">
        <f>+J148*I148</f>
        <v>4773.450000000001</v>
      </c>
    </row>
    <row r="149" spans="1:11" ht="15.75">
      <c r="A149" s="145"/>
      <c r="B149" s="30" t="s">
        <v>117</v>
      </c>
      <c r="C149" s="30">
        <v>1</v>
      </c>
      <c r="D149" s="42">
        <f>+F146</f>
        <v>14.100000000000001</v>
      </c>
      <c r="E149" s="30">
        <v>3</v>
      </c>
      <c r="F149" s="30">
        <f>C149*D149/E149</f>
        <v>4.7</v>
      </c>
      <c r="G149" s="30"/>
      <c r="H149" s="30"/>
      <c r="I149" s="48">
        <f>F149</f>
        <v>4.7</v>
      </c>
      <c r="J149" s="15">
        <f>$D$27</f>
        <v>225</v>
      </c>
      <c r="K149" s="44">
        <f>+J149*I149</f>
        <v>1057.5</v>
      </c>
    </row>
    <row r="150" spans="1:11" ht="15.75">
      <c r="A150" s="145"/>
      <c r="B150" s="30" t="s">
        <v>229</v>
      </c>
      <c r="C150" s="30">
        <v>2</v>
      </c>
      <c r="D150" s="42">
        <f>D142</f>
        <v>2.7</v>
      </c>
      <c r="E150" s="30"/>
      <c r="F150" s="30">
        <f>D150*C150</f>
        <v>5.4</v>
      </c>
      <c r="G150" s="30"/>
      <c r="H150" s="30"/>
      <c r="I150" s="48"/>
      <c r="J150" s="15"/>
      <c r="K150" s="44"/>
    </row>
    <row r="151" spans="1:11" ht="15.75">
      <c r="A151" s="145"/>
      <c r="B151" s="30"/>
      <c r="C151" s="30">
        <v>2</v>
      </c>
      <c r="D151" s="42">
        <f>E142</f>
        <v>1.15</v>
      </c>
      <c r="E151" s="30"/>
      <c r="F151" s="30">
        <f>D151*C151</f>
        <v>2.3</v>
      </c>
      <c r="G151" s="30"/>
      <c r="H151" s="30"/>
      <c r="I151" s="48"/>
      <c r="J151" s="15"/>
      <c r="K151" s="44"/>
    </row>
    <row r="152" spans="1:11" ht="15.75">
      <c r="A152" s="145"/>
      <c r="B152" s="30"/>
      <c r="C152" s="30"/>
      <c r="D152" s="42"/>
      <c r="E152" s="30"/>
      <c r="F152" s="30">
        <f>SUM(F150:F151)</f>
        <v>7.7</v>
      </c>
      <c r="G152" s="30"/>
      <c r="H152" s="42">
        <f>F152*G152%</f>
        <v>0</v>
      </c>
      <c r="I152" s="43">
        <f>F152+H152</f>
        <v>7.7</v>
      </c>
      <c r="J152" s="44">
        <f>$I$69</f>
        <v>111</v>
      </c>
      <c r="K152" s="44">
        <f>+J152*I152</f>
        <v>854.7</v>
      </c>
    </row>
    <row r="153" spans="1:11" ht="15.75">
      <c r="A153" s="145"/>
      <c r="B153" s="30" t="s">
        <v>230</v>
      </c>
      <c r="C153" s="30">
        <v>4</v>
      </c>
      <c r="D153" s="42">
        <f>D150</f>
        <v>2.7</v>
      </c>
      <c r="E153" s="30"/>
      <c r="F153" s="30">
        <f>D153*C153</f>
        <v>10.8</v>
      </c>
      <c r="G153" s="30"/>
      <c r="H153" s="30"/>
      <c r="I153" s="48"/>
      <c r="J153" s="15"/>
      <c r="K153" s="44"/>
    </row>
    <row r="154" spans="1:11" ht="15.75">
      <c r="A154" s="145"/>
      <c r="B154" s="30"/>
      <c r="C154" s="30">
        <v>4</v>
      </c>
      <c r="D154" s="42">
        <f>D151</f>
        <v>1.15</v>
      </c>
      <c r="E154" s="30"/>
      <c r="F154" s="30">
        <f>D154*C154</f>
        <v>4.6</v>
      </c>
      <c r="G154" s="30"/>
      <c r="H154" s="30"/>
      <c r="I154" s="48"/>
      <c r="J154" s="15"/>
      <c r="K154" s="44"/>
    </row>
    <row r="155" spans="1:11" ht="15.75">
      <c r="A155" s="145"/>
      <c r="B155" s="30"/>
      <c r="C155" s="30"/>
      <c r="D155" s="42"/>
      <c r="E155" s="30"/>
      <c r="F155" s="30">
        <f>SUM(F153:F154)</f>
        <v>15.4</v>
      </c>
      <c r="G155" s="30"/>
      <c r="H155" s="42">
        <f>F155*G155%</f>
        <v>0</v>
      </c>
      <c r="I155" s="43">
        <f>F155+H155</f>
        <v>15.4</v>
      </c>
      <c r="J155" s="44">
        <f>$I$125</f>
        <v>9</v>
      </c>
      <c r="K155" s="44">
        <f>+J155*I155</f>
        <v>138.6</v>
      </c>
    </row>
    <row r="156" spans="1:11" ht="15.75">
      <c r="A156" s="145"/>
      <c r="B156" s="31" t="s">
        <v>119</v>
      </c>
      <c r="C156" s="30">
        <v>2</v>
      </c>
      <c r="D156" s="42">
        <f>E138</f>
        <v>3</v>
      </c>
      <c r="E156" s="30">
        <f>E143-E146</f>
        <v>0.3500000000000001</v>
      </c>
      <c r="F156" s="30">
        <f>C156*D156*E156</f>
        <v>2.1000000000000005</v>
      </c>
      <c r="G156" s="30"/>
      <c r="H156" s="42">
        <f>F156*G156%</f>
        <v>0</v>
      </c>
      <c r="I156" s="43">
        <f>F156+H156</f>
        <v>2.1000000000000005</v>
      </c>
      <c r="J156" s="44">
        <f>$D$28</f>
        <v>120</v>
      </c>
      <c r="K156" s="44">
        <f>+J156*I156</f>
        <v>252.00000000000006</v>
      </c>
    </row>
    <row r="157" spans="1:11" ht="15.75">
      <c r="A157" s="145"/>
      <c r="B157" s="139" t="s">
        <v>121</v>
      </c>
      <c r="C157" s="30">
        <f>2</f>
        <v>2</v>
      </c>
      <c r="D157" s="42">
        <f>E138</f>
        <v>3</v>
      </c>
      <c r="E157" s="30"/>
      <c r="F157" s="30">
        <f>D157*C157</f>
        <v>6</v>
      </c>
      <c r="G157" s="30"/>
      <c r="H157" s="42">
        <f>F157*G157%</f>
        <v>0</v>
      </c>
      <c r="I157" s="43">
        <f>F157+H157</f>
        <v>6</v>
      </c>
      <c r="J157" s="44">
        <f>$D$30</f>
        <v>500</v>
      </c>
      <c r="K157" s="44">
        <f>+J157*I157</f>
        <v>3000</v>
      </c>
    </row>
    <row r="158" spans="1:11" ht="15.75">
      <c r="A158" s="145"/>
      <c r="B158" s="30" t="s">
        <v>231</v>
      </c>
      <c r="C158" s="30"/>
      <c r="D158" s="30"/>
      <c r="E158" s="30"/>
      <c r="F158" s="30"/>
      <c r="G158" s="30"/>
      <c r="H158" s="30"/>
      <c r="I158" s="48"/>
      <c r="J158" s="44"/>
      <c r="K158" s="44">
        <v>300</v>
      </c>
    </row>
    <row r="159" spans="1:11" ht="15.75">
      <c r="A159" s="145"/>
      <c r="B159" s="61" t="s">
        <v>232</v>
      </c>
      <c r="C159" s="30"/>
      <c r="D159" s="42"/>
      <c r="E159" s="30"/>
      <c r="F159" s="49">
        <f>I138</f>
        <v>8.100000000000001</v>
      </c>
      <c r="G159" s="30"/>
      <c r="H159" s="50">
        <v>700</v>
      </c>
      <c r="I159" s="43"/>
      <c r="J159" s="44"/>
      <c r="K159" s="62">
        <f>H159*F159</f>
        <v>5670.000000000001</v>
      </c>
    </row>
    <row r="160" spans="1:11" ht="16.5">
      <c r="A160" s="145"/>
      <c r="B160" s="25" t="s">
        <v>14</v>
      </c>
      <c r="C160" s="30"/>
      <c r="D160" s="30"/>
      <c r="E160" s="30"/>
      <c r="F160" s="30"/>
      <c r="G160" s="30"/>
      <c r="H160" s="30"/>
      <c r="I160" s="43"/>
      <c r="J160" s="44"/>
      <c r="K160" s="51">
        <f>SUM(K140:K159)</f>
        <v>26843.100000000002</v>
      </c>
    </row>
    <row r="161" spans="1:11" ht="15.75">
      <c r="A161" s="145"/>
      <c r="B161" s="16" t="str">
        <f>$B$7</f>
        <v>Add Towards Overhead and Profit</v>
      </c>
      <c r="C161" s="60"/>
      <c r="D161" s="52"/>
      <c r="E161" s="52"/>
      <c r="F161" s="18">
        <f>$F$7</f>
        <v>15</v>
      </c>
      <c r="G161" s="24"/>
      <c r="H161" s="24"/>
      <c r="I161" s="53"/>
      <c r="J161" s="15"/>
      <c r="K161" s="46">
        <f>+K160*F161%</f>
        <v>4026.465</v>
      </c>
    </row>
    <row r="162" spans="1:11" ht="15.75">
      <c r="A162" s="145"/>
      <c r="B162" s="16" t="s">
        <v>223</v>
      </c>
      <c r="C162" s="60"/>
      <c r="D162" s="52"/>
      <c r="E162" s="52"/>
      <c r="F162" s="18"/>
      <c r="G162" s="24"/>
      <c r="H162" s="24"/>
      <c r="I162" s="53"/>
      <c r="J162" s="15"/>
      <c r="K162" s="46">
        <f>SUM(K160:K161)</f>
        <v>30869.565000000002</v>
      </c>
    </row>
    <row r="163" spans="1:11" ht="15.75">
      <c r="A163" s="145"/>
      <c r="B163" s="24" t="s">
        <v>233</v>
      </c>
      <c r="C163" s="60"/>
      <c r="D163" s="52" t="s">
        <v>180</v>
      </c>
      <c r="E163" s="52"/>
      <c r="F163" s="13"/>
      <c r="G163" s="13"/>
      <c r="H163" s="13"/>
      <c r="I163" s="63">
        <f>I138</f>
        <v>8.100000000000001</v>
      </c>
      <c r="J163" s="64"/>
      <c r="K163" s="15">
        <f>K162/I163</f>
        <v>3811.057407407407</v>
      </c>
    </row>
    <row r="164" spans="1:11" ht="16.5">
      <c r="A164" s="145"/>
      <c r="B164" s="25" t="s">
        <v>233</v>
      </c>
      <c r="C164" s="65"/>
      <c r="D164" s="66"/>
      <c r="E164" s="67"/>
      <c r="F164" s="25"/>
      <c r="G164" s="25"/>
      <c r="H164" s="25"/>
      <c r="I164" s="14"/>
      <c r="J164" s="26"/>
      <c r="K164" s="68">
        <f>ROUND(K163,0)</f>
        <v>3811</v>
      </c>
    </row>
    <row r="165" spans="1:11" ht="17.25">
      <c r="A165" s="145"/>
      <c r="B165" s="25"/>
      <c r="C165" s="13"/>
      <c r="D165" s="25"/>
      <c r="E165" s="25"/>
      <c r="F165" s="25"/>
      <c r="G165" s="25"/>
      <c r="H165" s="25"/>
      <c r="I165" s="119" t="s">
        <v>224</v>
      </c>
      <c r="J165" s="112"/>
      <c r="K165" s="55">
        <v>4000</v>
      </c>
    </row>
    <row r="166" spans="1:11" ht="16.5">
      <c r="A166" s="145"/>
      <c r="B166" s="25"/>
      <c r="C166" s="13"/>
      <c r="D166" s="25"/>
      <c r="E166" s="25"/>
      <c r="F166" s="25"/>
      <c r="G166" s="25"/>
      <c r="H166" s="25"/>
      <c r="I166" s="14"/>
      <c r="J166" s="26"/>
      <c r="K166" s="69"/>
    </row>
    <row r="167" spans="1:11" ht="33" hidden="1">
      <c r="A167" s="129"/>
      <c r="B167" s="40" t="s">
        <v>34</v>
      </c>
      <c r="C167" s="47"/>
      <c r="D167" s="47"/>
      <c r="E167" s="47">
        <v>3</v>
      </c>
      <c r="F167" s="56" t="s">
        <v>225</v>
      </c>
      <c r="G167" s="57">
        <v>2.7</v>
      </c>
      <c r="H167" s="57" t="s">
        <v>225</v>
      </c>
      <c r="I167" s="58">
        <f>G167*E167</f>
        <v>8.100000000000001</v>
      </c>
      <c r="J167" s="44"/>
      <c r="K167" s="44"/>
    </row>
    <row r="168" spans="1:11" ht="16.5" hidden="1">
      <c r="A168" s="145"/>
      <c r="B168" s="338" t="s">
        <v>226</v>
      </c>
      <c r="C168" s="338"/>
      <c r="D168" s="338"/>
      <c r="E168" s="47">
        <v>3</v>
      </c>
      <c r="F168" s="47" t="s">
        <v>225</v>
      </c>
      <c r="G168" s="57"/>
      <c r="H168" s="57"/>
      <c r="I168" s="59"/>
      <c r="J168" s="44"/>
      <c r="K168" s="44"/>
    </row>
    <row r="169" spans="1:11" ht="15.75" hidden="1">
      <c r="A169" s="145"/>
      <c r="B169" s="60" t="s">
        <v>227</v>
      </c>
      <c r="C169" s="50">
        <f>E167/0.6</f>
        <v>5</v>
      </c>
      <c r="D169" s="30">
        <v>3</v>
      </c>
      <c r="E169" s="30"/>
      <c r="F169" s="30">
        <f>C169*D169</f>
        <v>15</v>
      </c>
      <c r="G169" s="30">
        <v>5</v>
      </c>
      <c r="H169" s="42">
        <f>F169*G169%</f>
        <v>0.75</v>
      </c>
      <c r="I169" s="43">
        <f>F169+H169</f>
        <v>15.75</v>
      </c>
      <c r="J169" s="44">
        <v>85</v>
      </c>
      <c r="K169" s="44">
        <f aca="true" t="shared" si="0" ref="K169:K175">+J169*I169</f>
        <v>1338.75</v>
      </c>
    </row>
    <row r="170" spans="1:11" ht="15.75" hidden="1">
      <c r="A170" s="145"/>
      <c r="B170" s="60" t="s">
        <v>228</v>
      </c>
      <c r="C170" s="50">
        <f>G167/0.6</f>
        <v>4.500000000000001</v>
      </c>
      <c r="D170" s="60">
        <f>E167</f>
        <v>3</v>
      </c>
      <c r="E170" s="60"/>
      <c r="F170" s="30">
        <f>C170*D170</f>
        <v>13.500000000000004</v>
      </c>
      <c r="G170" s="30">
        <v>5</v>
      </c>
      <c r="H170" s="42">
        <f>F170*G170%</f>
        <v>0.6750000000000003</v>
      </c>
      <c r="I170" s="43">
        <f>F170+H170</f>
        <v>14.175000000000004</v>
      </c>
      <c r="J170" s="44">
        <v>85</v>
      </c>
      <c r="K170" s="44">
        <f t="shared" si="0"/>
        <v>1204.8750000000005</v>
      </c>
    </row>
    <row r="171" spans="1:11" ht="15.75" hidden="1">
      <c r="A171" s="145"/>
      <c r="B171" s="139" t="s">
        <v>99</v>
      </c>
      <c r="C171" s="60">
        <v>2</v>
      </c>
      <c r="D171" s="60">
        <f>E167</f>
        <v>3</v>
      </c>
      <c r="E171" s="60">
        <f>G167</f>
        <v>2.7</v>
      </c>
      <c r="F171" s="30">
        <f>C171*D171*E171</f>
        <v>16.200000000000003</v>
      </c>
      <c r="G171" s="30">
        <v>5</v>
      </c>
      <c r="H171" s="42">
        <f>F171*G171%</f>
        <v>0.8100000000000002</v>
      </c>
      <c r="I171" s="43">
        <f>F171+H171</f>
        <v>17.01</v>
      </c>
      <c r="J171" s="44">
        <f>$D$9</f>
        <v>550</v>
      </c>
      <c r="K171" s="44">
        <f t="shared" si="0"/>
        <v>9355.5</v>
      </c>
    </row>
    <row r="172" spans="1:11" ht="15.75" hidden="1">
      <c r="A172" s="145"/>
      <c r="B172" s="139" t="s">
        <v>104</v>
      </c>
      <c r="C172" s="60">
        <v>2</v>
      </c>
      <c r="D172" s="60">
        <f>E167</f>
        <v>3</v>
      </c>
      <c r="E172" s="60">
        <v>2.35</v>
      </c>
      <c r="F172" s="30">
        <f>C172*D172*E172</f>
        <v>14.100000000000001</v>
      </c>
      <c r="G172" s="60">
        <v>10</v>
      </c>
      <c r="H172" s="30">
        <f>F172*G172%</f>
        <v>1.4100000000000001</v>
      </c>
      <c r="I172" s="43">
        <f>F172+H172</f>
        <v>15.510000000000002</v>
      </c>
      <c r="J172" s="44">
        <f>$D$15</f>
        <v>550</v>
      </c>
      <c r="K172" s="44">
        <f t="shared" si="0"/>
        <v>8530.5</v>
      </c>
    </row>
    <row r="173" spans="1:11" ht="15.75" hidden="1">
      <c r="A173" s="145"/>
      <c r="B173" s="30" t="s">
        <v>117</v>
      </c>
      <c r="C173" s="30">
        <v>1</v>
      </c>
      <c r="D173" s="42">
        <f>+F172</f>
        <v>14.100000000000001</v>
      </c>
      <c r="E173" s="30">
        <v>3</v>
      </c>
      <c r="F173" s="30">
        <f>C173*D173/E173</f>
        <v>4.7</v>
      </c>
      <c r="G173" s="30"/>
      <c r="H173" s="30"/>
      <c r="I173" s="48">
        <f>F173</f>
        <v>4.7</v>
      </c>
      <c r="J173" s="15">
        <f>$D$27</f>
        <v>225</v>
      </c>
      <c r="K173" s="44">
        <f t="shared" si="0"/>
        <v>1057.5</v>
      </c>
    </row>
    <row r="174" spans="1:11" ht="15.75" hidden="1">
      <c r="A174" s="145"/>
      <c r="B174" s="31" t="s">
        <v>119</v>
      </c>
      <c r="C174" s="30">
        <v>2</v>
      </c>
      <c r="D174" s="42">
        <f>E167</f>
        <v>3</v>
      </c>
      <c r="E174" s="30">
        <f>E171-E172</f>
        <v>0.3500000000000001</v>
      </c>
      <c r="F174" s="30">
        <f>C174*D174*E174</f>
        <v>2.1000000000000005</v>
      </c>
      <c r="G174" s="30"/>
      <c r="H174" s="42">
        <f>F174*G174%</f>
        <v>0</v>
      </c>
      <c r="I174" s="43">
        <f>F174+H174</f>
        <v>2.1000000000000005</v>
      </c>
      <c r="J174" s="44">
        <f>$D$28</f>
        <v>120</v>
      </c>
      <c r="K174" s="44">
        <f t="shared" si="0"/>
        <v>252.00000000000006</v>
      </c>
    </row>
    <row r="175" spans="1:11" ht="15.75" hidden="1">
      <c r="A175" s="145"/>
      <c r="B175" s="139" t="s">
        <v>121</v>
      </c>
      <c r="C175" s="30">
        <f>2</f>
        <v>2</v>
      </c>
      <c r="D175" s="42">
        <f>E167</f>
        <v>3</v>
      </c>
      <c r="E175" s="30"/>
      <c r="F175" s="30">
        <f>D175*C175</f>
        <v>6</v>
      </c>
      <c r="G175" s="30"/>
      <c r="H175" s="42">
        <f>F175*G175%</f>
        <v>0</v>
      </c>
      <c r="I175" s="43">
        <f>F175+H175</f>
        <v>6</v>
      </c>
      <c r="J175" s="44">
        <f>$D$30</f>
        <v>500</v>
      </c>
      <c r="K175" s="44">
        <f t="shared" si="0"/>
        <v>3000</v>
      </c>
    </row>
    <row r="176" spans="1:11" ht="15.75" hidden="1">
      <c r="A176" s="145"/>
      <c r="B176" s="30" t="s">
        <v>231</v>
      </c>
      <c r="C176" s="30"/>
      <c r="D176" s="30"/>
      <c r="E176" s="30"/>
      <c r="F176" s="30"/>
      <c r="G176" s="30"/>
      <c r="H176" s="30"/>
      <c r="I176" s="48"/>
      <c r="J176" s="44"/>
      <c r="K176" s="44">
        <v>300</v>
      </c>
    </row>
    <row r="177" spans="1:11" ht="15.75" hidden="1">
      <c r="A177" s="145"/>
      <c r="B177" s="61" t="s">
        <v>232</v>
      </c>
      <c r="C177" s="30"/>
      <c r="D177" s="42"/>
      <c r="E177" s="30"/>
      <c r="F177" s="49">
        <f>I167</f>
        <v>8.100000000000001</v>
      </c>
      <c r="G177" s="30"/>
      <c r="H177" s="50">
        <v>600</v>
      </c>
      <c r="I177" s="43"/>
      <c r="J177" s="44"/>
      <c r="K177" s="62">
        <f>H177*F177</f>
        <v>4860.000000000001</v>
      </c>
    </row>
    <row r="178" spans="1:11" ht="16.5" hidden="1">
      <c r="A178" s="145"/>
      <c r="B178" s="25" t="s">
        <v>14</v>
      </c>
      <c r="C178" s="30"/>
      <c r="D178" s="30"/>
      <c r="E178" s="30"/>
      <c r="F178" s="30"/>
      <c r="G178" s="30"/>
      <c r="H178" s="30"/>
      <c r="I178" s="43"/>
      <c r="J178" s="44"/>
      <c r="K178" s="51">
        <f>SUM(K169:K177)</f>
        <v>29899.125</v>
      </c>
    </row>
    <row r="179" spans="1:11" ht="15.75" hidden="1">
      <c r="A179" s="145"/>
      <c r="B179" s="16" t="str">
        <f>$B$7</f>
        <v>Add Towards Overhead and Profit</v>
      </c>
      <c r="C179" s="60"/>
      <c r="D179" s="52"/>
      <c r="E179" s="52"/>
      <c r="F179" s="18">
        <f>$F$7</f>
        <v>15</v>
      </c>
      <c r="G179" s="24"/>
      <c r="H179" s="24"/>
      <c r="I179" s="53"/>
      <c r="J179" s="15"/>
      <c r="K179" s="46">
        <f>+K178*F179%</f>
        <v>4484.86875</v>
      </c>
    </row>
    <row r="180" spans="1:11" ht="15.75" hidden="1">
      <c r="A180" s="145"/>
      <c r="B180" s="16" t="s">
        <v>223</v>
      </c>
      <c r="C180" s="60"/>
      <c r="D180" s="52"/>
      <c r="E180" s="52"/>
      <c r="F180" s="18"/>
      <c r="G180" s="24"/>
      <c r="H180" s="24"/>
      <c r="I180" s="53"/>
      <c r="J180" s="15"/>
      <c r="K180" s="46">
        <f>SUM(K178:K179)</f>
        <v>34383.99375</v>
      </c>
    </row>
    <row r="181" spans="1:11" ht="15.75" hidden="1">
      <c r="A181" s="145"/>
      <c r="B181" s="24" t="s">
        <v>233</v>
      </c>
      <c r="C181" s="60"/>
      <c r="D181" s="52" t="s">
        <v>180</v>
      </c>
      <c r="E181" s="52"/>
      <c r="F181" s="13"/>
      <c r="G181" s="13"/>
      <c r="H181" s="13"/>
      <c r="I181" s="63">
        <f>I167</f>
        <v>8.100000000000001</v>
      </c>
      <c r="J181" s="64"/>
      <c r="K181" s="15">
        <f>K180/I181</f>
        <v>4244.937499999999</v>
      </c>
    </row>
    <row r="182" spans="1:11" ht="16.5" hidden="1">
      <c r="A182" s="145"/>
      <c r="B182" s="25" t="s">
        <v>233</v>
      </c>
      <c r="C182" s="65"/>
      <c r="D182" s="66"/>
      <c r="E182" s="67"/>
      <c r="F182" s="25"/>
      <c r="G182" s="25"/>
      <c r="H182" s="25"/>
      <c r="I182" s="14"/>
      <c r="J182" s="26"/>
      <c r="K182" s="68">
        <f>ROUND(K181,0)</f>
        <v>4245</v>
      </c>
    </row>
    <row r="183" spans="1:11" ht="16.5" hidden="1">
      <c r="A183" s="145"/>
      <c r="B183" s="25"/>
      <c r="C183" s="13"/>
      <c r="D183" s="25"/>
      <c r="E183" s="25"/>
      <c r="F183" s="25"/>
      <c r="G183" s="25"/>
      <c r="H183" s="25"/>
      <c r="I183" s="54" t="s">
        <v>224</v>
      </c>
      <c r="J183" s="26"/>
      <c r="K183" s="69">
        <v>4200</v>
      </c>
    </row>
    <row r="184" spans="1:11" ht="16.5" hidden="1">
      <c r="A184" s="145"/>
      <c r="B184" s="25"/>
      <c r="C184" s="13"/>
      <c r="D184" s="25"/>
      <c r="E184" s="25"/>
      <c r="F184" s="25"/>
      <c r="G184" s="25"/>
      <c r="H184" s="25"/>
      <c r="I184" s="14"/>
      <c r="J184" s="26"/>
      <c r="K184" s="69"/>
    </row>
    <row r="185" spans="1:11" ht="16.5" customHeight="1">
      <c r="A185" s="129">
        <f>A138+1</f>
        <v>2</v>
      </c>
      <c r="B185" s="40" t="s">
        <v>46</v>
      </c>
      <c r="C185" s="47"/>
      <c r="D185" s="47"/>
      <c r="E185" s="47">
        <v>1.8</v>
      </c>
      <c r="F185" s="56" t="s">
        <v>225</v>
      </c>
      <c r="G185" s="57">
        <v>1.1</v>
      </c>
      <c r="H185" s="57" t="s">
        <v>225</v>
      </c>
      <c r="I185" s="59">
        <f>G185*E185</f>
        <v>1.9800000000000002</v>
      </c>
      <c r="J185" s="44"/>
      <c r="K185" s="44"/>
    </row>
    <row r="186" spans="1:11" ht="15.75">
      <c r="A186" s="145"/>
      <c r="B186" s="60" t="s">
        <v>227</v>
      </c>
      <c r="C186" s="50">
        <v>3</v>
      </c>
      <c r="D186" s="30">
        <f>G185</f>
        <v>1.1</v>
      </c>
      <c r="E186" s="30"/>
      <c r="F186" s="42">
        <f>C186*D186</f>
        <v>3.3000000000000003</v>
      </c>
      <c r="G186" s="30">
        <v>5</v>
      </c>
      <c r="H186" s="42">
        <f>F186*G186%</f>
        <v>0.16500000000000004</v>
      </c>
      <c r="I186" s="43">
        <f>F186+H186</f>
        <v>3.4650000000000003</v>
      </c>
      <c r="J186" s="44">
        <v>85</v>
      </c>
      <c r="K186" s="44">
        <f>+J186*I186</f>
        <v>294.52500000000003</v>
      </c>
    </row>
    <row r="187" spans="1:11" ht="15.75">
      <c r="A187" s="145"/>
      <c r="B187" s="60" t="s">
        <v>228</v>
      </c>
      <c r="C187" s="50">
        <f>E185/0.6+1</f>
        <v>4</v>
      </c>
      <c r="D187" s="60">
        <f>E185</f>
        <v>1.8</v>
      </c>
      <c r="E187" s="60"/>
      <c r="F187" s="42">
        <f>C187*D187</f>
        <v>7.2</v>
      </c>
      <c r="G187" s="30">
        <v>5</v>
      </c>
      <c r="H187" s="42">
        <f>F187*G187%</f>
        <v>0.36000000000000004</v>
      </c>
      <c r="I187" s="43">
        <f>F187+H187</f>
        <v>7.5600000000000005</v>
      </c>
      <c r="J187" s="44">
        <v>85</v>
      </c>
      <c r="K187" s="44">
        <f>+J187*I187</f>
        <v>642.6</v>
      </c>
    </row>
    <row r="188" spans="1:11" ht="15.75">
      <c r="A188" s="145"/>
      <c r="B188" s="139" t="s">
        <v>99</v>
      </c>
      <c r="C188" s="60">
        <v>2</v>
      </c>
      <c r="D188" s="60">
        <f>E185</f>
        <v>1.8</v>
      </c>
      <c r="E188" s="60">
        <f>G185</f>
        <v>1.1</v>
      </c>
      <c r="F188" s="42">
        <f aca="true" t="shared" si="1" ref="F188:F195">C188*D188*E188</f>
        <v>3.9600000000000004</v>
      </c>
      <c r="G188" s="30"/>
      <c r="H188" s="42"/>
      <c r="I188" s="43"/>
      <c r="J188" s="44"/>
      <c r="K188" s="44"/>
    </row>
    <row r="189" spans="1:11" ht="15.75">
      <c r="A189" s="145"/>
      <c r="B189" s="139"/>
      <c r="C189" s="60">
        <v>1</v>
      </c>
      <c r="D189" s="60">
        <f>E185</f>
        <v>1.8</v>
      </c>
      <c r="E189" s="60">
        <v>0.075</v>
      </c>
      <c r="F189" s="42">
        <f>C189*D189*E189</f>
        <v>0.135</v>
      </c>
      <c r="G189" s="30"/>
      <c r="H189" s="42"/>
      <c r="I189" s="43"/>
      <c r="J189" s="44"/>
      <c r="K189" s="44"/>
    </row>
    <row r="190" spans="1:11" ht="15.75">
      <c r="A190" s="145"/>
      <c r="B190" s="139"/>
      <c r="C190" s="60"/>
      <c r="D190" s="60"/>
      <c r="E190" s="60"/>
      <c r="F190" s="42">
        <f>SUM(F188:F189)</f>
        <v>4.095000000000001</v>
      </c>
      <c r="G190" s="30">
        <v>5</v>
      </c>
      <c r="H190" s="42">
        <f>F190*G190%</f>
        <v>0.20475000000000004</v>
      </c>
      <c r="I190" s="43">
        <f>F190+H190</f>
        <v>4.29975</v>
      </c>
      <c r="J190" s="44">
        <f>$D$9</f>
        <v>550</v>
      </c>
      <c r="K190" s="44">
        <f>+J190*I190</f>
        <v>2364.8625</v>
      </c>
    </row>
    <row r="191" spans="1:11" ht="15.75">
      <c r="A191" s="145"/>
      <c r="B191" s="139" t="s">
        <v>104</v>
      </c>
      <c r="C191" s="60">
        <v>2</v>
      </c>
      <c r="D191" s="60">
        <f>E185-2*E192</f>
        <v>1.7</v>
      </c>
      <c r="E191" s="60">
        <f>G185-1*E194</f>
        <v>1.05</v>
      </c>
      <c r="F191" s="42">
        <f t="shared" si="1"/>
        <v>3.57</v>
      </c>
      <c r="G191" s="60">
        <v>10</v>
      </c>
      <c r="H191" s="30">
        <f>F191*G191%</f>
        <v>0.357</v>
      </c>
      <c r="I191" s="43">
        <f>F191+H191</f>
        <v>3.9269999999999996</v>
      </c>
      <c r="J191" s="44">
        <f>$D$15</f>
        <v>550</v>
      </c>
      <c r="K191" s="44">
        <f>+J191*I191</f>
        <v>2159.85</v>
      </c>
    </row>
    <row r="192" spans="1:11" ht="15.75">
      <c r="A192" s="145"/>
      <c r="B192" s="139" t="s">
        <v>110</v>
      </c>
      <c r="C192" s="30">
        <v>2</v>
      </c>
      <c r="D192" s="42">
        <f>E185</f>
        <v>1.8</v>
      </c>
      <c r="E192" s="30">
        <v>0.05</v>
      </c>
      <c r="F192" s="42">
        <f t="shared" si="1"/>
        <v>0.18000000000000002</v>
      </c>
      <c r="G192" s="60"/>
      <c r="H192" s="42"/>
      <c r="I192" s="43"/>
      <c r="J192" s="44"/>
      <c r="K192" s="44"/>
    </row>
    <row r="193" spans="1:11" ht="15.75">
      <c r="A193" s="145"/>
      <c r="B193" s="70"/>
      <c r="C193" s="30">
        <v>1</v>
      </c>
      <c r="D193" s="42">
        <f>E185</f>
        <v>1.8</v>
      </c>
      <c r="E193" s="30">
        <v>0.075</v>
      </c>
      <c r="F193" s="42">
        <f t="shared" si="1"/>
        <v>0.135</v>
      </c>
      <c r="G193" s="60"/>
      <c r="H193" s="42"/>
      <c r="I193" s="43"/>
      <c r="J193" s="44"/>
      <c r="K193" s="44"/>
    </row>
    <row r="194" spans="1:11" ht="15.75">
      <c r="A194" s="145"/>
      <c r="B194" s="30"/>
      <c r="C194" s="30">
        <v>2</v>
      </c>
      <c r="D194" s="42">
        <f>G185</f>
        <v>1.1</v>
      </c>
      <c r="E194" s="30">
        <v>0.05</v>
      </c>
      <c r="F194" s="42">
        <f t="shared" si="1"/>
        <v>0.11000000000000001</v>
      </c>
      <c r="G194" s="60"/>
      <c r="H194" s="42"/>
      <c r="I194" s="43"/>
      <c r="J194" s="44"/>
      <c r="K194" s="44"/>
    </row>
    <row r="195" spans="1:11" ht="15.75">
      <c r="A195" s="145"/>
      <c r="B195" s="30"/>
      <c r="C195" s="30">
        <v>1</v>
      </c>
      <c r="D195" s="42">
        <f>G185</f>
        <v>1.1</v>
      </c>
      <c r="E195" s="30">
        <v>0.075</v>
      </c>
      <c r="F195" s="42">
        <f t="shared" si="1"/>
        <v>0.0825</v>
      </c>
      <c r="G195" s="60"/>
      <c r="H195" s="42"/>
      <c r="I195" s="43"/>
      <c r="J195" s="44"/>
      <c r="K195" s="44"/>
    </row>
    <row r="196" spans="1:11" ht="15.75">
      <c r="A196" s="145"/>
      <c r="B196" s="30"/>
      <c r="C196" s="30"/>
      <c r="D196" s="42"/>
      <c r="E196" s="30"/>
      <c r="F196" s="42">
        <f>SUM(F192:F195)</f>
        <v>0.5075000000000001</v>
      </c>
      <c r="G196" s="60"/>
      <c r="H196" s="30">
        <f>F196*G196%</f>
        <v>0</v>
      </c>
      <c r="I196" s="43">
        <f>F196+H196</f>
        <v>0.5075000000000001</v>
      </c>
      <c r="J196" s="44">
        <f>$D$20</f>
        <v>6300</v>
      </c>
      <c r="K196" s="44">
        <f>+J196*I196</f>
        <v>3197.2500000000005</v>
      </c>
    </row>
    <row r="197" spans="1:11" ht="15.75">
      <c r="A197" s="145"/>
      <c r="B197" s="30" t="s">
        <v>117</v>
      </c>
      <c r="C197" s="30">
        <v>1</v>
      </c>
      <c r="D197" s="42">
        <f>F191</f>
        <v>3.57</v>
      </c>
      <c r="E197" s="30">
        <v>3</v>
      </c>
      <c r="F197" s="42">
        <f>C197*D197/E197</f>
        <v>1.19</v>
      </c>
      <c r="G197" s="30"/>
      <c r="H197" s="30"/>
      <c r="I197" s="48">
        <f>F197</f>
        <v>1.19</v>
      </c>
      <c r="J197" s="15">
        <f>$D$27</f>
        <v>225</v>
      </c>
      <c r="K197" s="44">
        <f>+J197*I197</f>
        <v>267.75</v>
      </c>
    </row>
    <row r="198" spans="1:11" ht="15.75">
      <c r="A198" s="145"/>
      <c r="B198" s="139" t="s">
        <v>121</v>
      </c>
      <c r="C198" s="30">
        <f>2</f>
        <v>2</v>
      </c>
      <c r="D198" s="42">
        <f>E185</f>
        <v>1.8</v>
      </c>
      <c r="E198" s="30"/>
      <c r="F198" s="30">
        <f>D198*C198</f>
        <v>3.6</v>
      </c>
      <c r="G198" s="30"/>
      <c r="H198" s="42">
        <f>F198*G198%</f>
        <v>0</v>
      </c>
      <c r="I198" s="43">
        <f>F198+H198</f>
        <v>3.6</v>
      </c>
      <c r="J198" s="44">
        <f>$D$30</f>
        <v>500</v>
      </c>
      <c r="K198" s="44">
        <f>+J198*I198</f>
        <v>1800</v>
      </c>
    </row>
    <row r="199" spans="1:11" ht="15.75">
      <c r="A199" s="145"/>
      <c r="B199" s="30" t="s">
        <v>231</v>
      </c>
      <c r="C199" s="30"/>
      <c r="D199" s="30"/>
      <c r="E199" s="30"/>
      <c r="F199" s="30"/>
      <c r="G199" s="30"/>
      <c r="H199" s="30"/>
      <c r="I199" s="48"/>
      <c r="J199" s="44"/>
      <c r="K199" s="44">
        <v>150</v>
      </c>
    </row>
    <row r="200" spans="1:11" ht="15.75">
      <c r="A200" s="145"/>
      <c r="B200" s="61" t="s">
        <v>232</v>
      </c>
      <c r="C200" s="30"/>
      <c r="D200" s="42"/>
      <c r="E200" s="30"/>
      <c r="F200" s="49">
        <f>I185</f>
        <v>1.9800000000000002</v>
      </c>
      <c r="G200" s="30"/>
      <c r="H200" s="50">
        <v>600</v>
      </c>
      <c r="I200" s="43"/>
      <c r="J200" s="44"/>
      <c r="K200" s="71">
        <f>H200*F200</f>
        <v>1188.0000000000002</v>
      </c>
    </row>
    <row r="201" spans="1:11" ht="16.5">
      <c r="A201" s="145"/>
      <c r="B201" s="25" t="s">
        <v>14</v>
      </c>
      <c r="C201" s="30"/>
      <c r="D201" s="30"/>
      <c r="E201" s="30"/>
      <c r="F201" s="30"/>
      <c r="G201" s="30"/>
      <c r="H201" s="30"/>
      <c r="I201" s="43"/>
      <c r="J201" s="44"/>
      <c r="K201" s="51">
        <f>SUM(K186:K200)</f>
        <v>12064.8375</v>
      </c>
    </row>
    <row r="202" spans="1:11" ht="15.75">
      <c r="A202" s="145"/>
      <c r="B202" s="16" t="str">
        <f>$B$7</f>
        <v>Add Towards Overhead and Profit</v>
      </c>
      <c r="C202" s="60"/>
      <c r="D202" s="52"/>
      <c r="E202" s="52"/>
      <c r="F202" s="18">
        <f>$F$7</f>
        <v>15</v>
      </c>
      <c r="G202" s="24"/>
      <c r="H202" s="24"/>
      <c r="I202" s="53"/>
      <c r="J202" s="15"/>
      <c r="K202" s="46">
        <f>+K201*F202%</f>
        <v>1809.7256249999998</v>
      </c>
    </row>
    <row r="203" spans="1:11" ht="15.75">
      <c r="A203" s="145"/>
      <c r="B203" s="16" t="s">
        <v>223</v>
      </c>
      <c r="C203" s="60"/>
      <c r="D203" s="52"/>
      <c r="E203" s="52"/>
      <c r="F203" s="18"/>
      <c r="G203" s="24"/>
      <c r="H203" s="24"/>
      <c r="I203" s="53"/>
      <c r="J203" s="15"/>
      <c r="K203" s="46">
        <f>SUM(K201:K202)</f>
        <v>13874.563124999999</v>
      </c>
    </row>
    <row r="204" spans="1:11" ht="15.75">
      <c r="A204" s="145"/>
      <c r="B204" s="24" t="s">
        <v>233</v>
      </c>
      <c r="C204" s="60"/>
      <c r="D204" s="52"/>
      <c r="E204" s="52"/>
      <c r="F204" s="13"/>
      <c r="G204" s="13"/>
      <c r="H204" s="13"/>
      <c r="I204" s="63">
        <f>I185</f>
        <v>1.9800000000000002</v>
      </c>
      <c r="J204" s="64"/>
      <c r="K204" s="15">
        <f>K203/I204</f>
        <v>7007.355113636362</v>
      </c>
    </row>
    <row r="205" spans="1:11" ht="16.5">
      <c r="A205" s="145"/>
      <c r="B205" s="24" t="s">
        <v>233</v>
      </c>
      <c r="C205" s="65"/>
      <c r="D205" s="66"/>
      <c r="E205" s="67"/>
      <c r="F205" s="25"/>
      <c r="G205" s="25"/>
      <c r="H205" s="25"/>
      <c r="I205" s="14"/>
      <c r="J205" s="26"/>
      <c r="K205" s="68">
        <f>ROUND(K204,0)</f>
        <v>7007</v>
      </c>
    </row>
    <row r="206" spans="1:11" ht="17.25">
      <c r="A206" s="145"/>
      <c r="B206" s="25"/>
      <c r="C206" s="13"/>
      <c r="D206" s="25"/>
      <c r="E206" s="25"/>
      <c r="F206" s="25"/>
      <c r="G206" s="25"/>
      <c r="H206" s="25"/>
      <c r="I206" s="119" t="s">
        <v>224</v>
      </c>
      <c r="J206" s="112"/>
      <c r="K206" s="55">
        <v>7000</v>
      </c>
    </row>
    <row r="207" spans="1:11" ht="16.5">
      <c r="A207" s="145"/>
      <c r="B207" s="25"/>
      <c r="C207" s="13"/>
      <c r="D207" s="25"/>
      <c r="E207" s="25"/>
      <c r="F207" s="25"/>
      <c r="G207" s="25"/>
      <c r="H207" s="25"/>
      <c r="I207" s="14"/>
      <c r="J207" s="26"/>
      <c r="K207" s="69"/>
    </row>
    <row r="208" spans="1:11" ht="37.5" customHeight="1">
      <c r="A208" s="129">
        <f>A185+1</f>
        <v>3</v>
      </c>
      <c r="B208" s="40" t="s">
        <v>240</v>
      </c>
      <c r="C208" s="13"/>
      <c r="D208" s="25"/>
      <c r="E208" s="25"/>
      <c r="F208" s="25"/>
      <c r="G208" s="25"/>
      <c r="H208" s="25"/>
      <c r="I208" s="14"/>
      <c r="J208" s="26"/>
      <c r="K208" s="21"/>
    </row>
    <row r="209" spans="1:11" ht="16.5">
      <c r="A209" s="145"/>
      <c r="B209" s="74" t="s">
        <v>241</v>
      </c>
      <c r="C209" s="75">
        <v>0.9</v>
      </c>
      <c r="D209" s="75">
        <v>2.25</v>
      </c>
      <c r="E209" s="75">
        <f>C209*D209</f>
        <v>2.025</v>
      </c>
      <c r="F209" s="76"/>
      <c r="G209" s="76"/>
      <c r="H209" s="76"/>
      <c r="I209" s="77"/>
      <c r="J209" s="78"/>
      <c r="K209" s="79"/>
    </row>
    <row r="210" spans="1:11" ht="16.5">
      <c r="A210" s="145"/>
      <c r="B210" s="61" t="s">
        <v>242</v>
      </c>
      <c r="C210" s="79"/>
      <c r="D210" s="80"/>
      <c r="E210" s="81"/>
      <c r="F210" s="82"/>
      <c r="G210" s="82"/>
      <c r="H210" s="81"/>
      <c r="I210" s="77"/>
      <c r="J210" s="78"/>
      <c r="K210" s="79"/>
    </row>
    <row r="211" spans="1:11" ht="16.5">
      <c r="A211" s="145"/>
      <c r="B211" s="61" t="s">
        <v>243</v>
      </c>
      <c r="C211" s="81">
        <f>C209</f>
        <v>0.9</v>
      </c>
      <c r="D211" s="81">
        <f>D209</f>
        <v>2.25</v>
      </c>
      <c r="E211" s="81"/>
      <c r="F211" s="83">
        <f>C211*D211</f>
        <v>2.025</v>
      </c>
      <c r="G211" s="82" t="s">
        <v>244</v>
      </c>
      <c r="H211" s="81"/>
      <c r="I211" s="77"/>
      <c r="J211" s="78"/>
      <c r="K211" s="79"/>
    </row>
    <row r="212" spans="1:11" ht="16.5">
      <c r="A212" s="145"/>
      <c r="B212" s="61" t="s">
        <v>245</v>
      </c>
      <c r="C212" s="81">
        <f>C211-(0.015*2)</f>
        <v>0.87</v>
      </c>
      <c r="D212" s="84">
        <f>D211-0.015</f>
        <v>2.235</v>
      </c>
      <c r="E212" s="81"/>
      <c r="F212" s="83">
        <f>C212*D212</f>
        <v>1.9444499999999998</v>
      </c>
      <c r="G212" s="82" t="s">
        <v>244</v>
      </c>
      <c r="H212" s="81"/>
      <c r="I212" s="77"/>
      <c r="J212" s="78"/>
      <c r="K212" s="79"/>
    </row>
    <row r="213" spans="1:11" ht="16.5">
      <c r="A213" s="145"/>
      <c r="B213" s="61" t="s">
        <v>246</v>
      </c>
      <c r="C213" s="81">
        <v>0.45</v>
      </c>
      <c r="D213" s="84">
        <v>1.8</v>
      </c>
      <c r="E213" s="81"/>
      <c r="F213" s="83">
        <f>C213*D213</f>
        <v>0.81</v>
      </c>
      <c r="G213" s="82" t="s">
        <v>244</v>
      </c>
      <c r="H213" s="81"/>
      <c r="I213" s="77"/>
      <c r="J213" s="78"/>
      <c r="K213" s="79"/>
    </row>
    <row r="214" spans="1:11" ht="16.5">
      <c r="A214" s="145"/>
      <c r="B214" s="13" t="s">
        <v>162</v>
      </c>
      <c r="C214" s="81">
        <v>2</v>
      </c>
      <c r="D214" s="84">
        <f>C212</f>
        <v>0.87</v>
      </c>
      <c r="E214" s="81">
        <f>D214*C214</f>
        <v>1.74</v>
      </c>
      <c r="F214" s="83"/>
      <c r="G214" s="82"/>
      <c r="H214" s="81"/>
      <c r="I214" s="77"/>
      <c r="J214" s="78"/>
      <c r="K214" s="79"/>
    </row>
    <row r="215" spans="1:11" ht="16.5">
      <c r="A215" s="145"/>
      <c r="B215" s="61"/>
      <c r="C215" s="81">
        <v>2</v>
      </c>
      <c r="D215" s="84">
        <f>D212</f>
        <v>2.235</v>
      </c>
      <c r="E215" s="81">
        <f>D215*C215</f>
        <v>4.47</v>
      </c>
      <c r="F215" s="83"/>
      <c r="G215" s="82"/>
      <c r="H215" s="81"/>
      <c r="I215" s="77"/>
      <c r="J215" s="78"/>
      <c r="K215" s="79"/>
    </row>
    <row r="216" spans="1:11" ht="16.5">
      <c r="A216" s="145"/>
      <c r="B216" s="61"/>
      <c r="C216" s="81"/>
      <c r="D216" s="84"/>
      <c r="E216" s="81">
        <f>SUM(E214:E215)</f>
        <v>6.21</v>
      </c>
      <c r="F216" s="83"/>
      <c r="G216" s="85" t="s">
        <v>247</v>
      </c>
      <c r="H216" s="81"/>
      <c r="I216" s="77"/>
      <c r="J216" s="78"/>
      <c r="K216" s="79"/>
    </row>
    <row r="217" spans="1:11" ht="16.5">
      <c r="A217" s="145"/>
      <c r="B217" s="13" t="s">
        <v>167</v>
      </c>
      <c r="C217" s="81">
        <f>2*2</f>
        <v>4</v>
      </c>
      <c r="D217" s="84">
        <f>C213</f>
        <v>0.45</v>
      </c>
      <c r="E217" s="81">
        <f>D217*C217</f>
        <v>1.8</v>
      </c>
      <c r="F217" s="83"/>
      <c r="G217" s="82"/>
      <c r="H217" s="81"/>
      <c r="I217" s="77"/>
      <c r="J217" s="78"/>
      <c r="K217" s="79"/>
    </row>
    <row r="218" spans="1:11" ht="16.5">
      <c r="A218" s="145"/>
      <c r="B218" s="61"/>
      <c r="C218" s="81">
        <f>2*2</f>
        <v>4</v>
      </c>
      <c r="D218" s="84">
        <f>D213</f>
        <v>1.8</v>
      </c>
      <c r="E218" s="81">
        <f>D218*C218</f>
        <v>7.2</v>
      </c>
      <c r="F218" s="83"/>
      <c r="G218" s="82"/>
      <c r="H218" s="81"/>
      <c r="I218" s="77"/>
      <c r="J218" s="78"/>
      <c r="K218" s="79"/>
    </row>
    <row r="219" spans="1:11" ht="16.5">
      <c r="A219" s="145"/>
      <c r="B219" s="61"/>
      <c r="C219" s="81"/>
      <c r="D219" s="84"/>
      <c r="E219" s="81">
        <f>SUM(E217:E218)</f>
        <v>9</v>
      </c>
      <c r="F219" s="83"/>
      <c r="G219" s="85" t="s">
        <v>247</v>
      </c>
      <c r="H219" s="81"/>
      <c r="I219" s="77"/>
      <c r="J219" s="78"/>
      <c r="K219" s="79"/>
    </row>
    <row r="220" spans="1:11" ht="16.5">
      <c r="A220" s="145"/>
      <c r="B220" s="13" t="s">
        <v>248</v>
      </c>
      <c r="C220" s="81">
        <v>2</v>
      </c>
      <c r="D220" s="84">
        <f>C213</f>
        <v>0.45</v>
      </c>
      <c r="E220" s="81">
        <f>D220*C220</f>
        <v>0.9</v>
      </c>
      <c r="F220" s="83"/>
      <c r="G220" s="82"/>
      <c r="H220" s="81"/>
      <c r="I220" s="77"/>
      <c r="J220" s="78"/>
      <c r="K220" s="79"/>
    </row>
    <row r="221" spans="1:11" ht="16.5">
      <c r="A221" s="145"/>
      <c r="B221" s="61"/>
      <c r="C221" s="81">
        <v>2</v>
      </c>
      <c r="D221" s="84">
        <f>D213</f>
        <v>1.8</v>
      </c>
      <c r="E221" s="81">
        <f>D221*C221</f>
        <v>3.6</v>
      </c>
      <c r="F221" s="83"/>
      <c r="G221" s="82"/>
      <c r="H221" s="81"/>
      <c r="I221" s="77"/>
      <c r="J221" s="78"/>
      <c r="K221" s="79"/>
    </row>
    <row r="222" spans="1:11" ht="16.5">
      <c r="A222" s="145"/>
      <c r="B222" s="61"/>
      <c r="C222" s="81"/>
      <c r="D222" s="84"/>
      <c r="E222" s="81">
        <f>SUM(E220:E221)</f>
        <v>4.5</v>
      </c>
      <c r="F222" s="83"/>
      <c r="G222" s="85" t="s">
        <v>247</v>
      </c>
      <c r="H222" s="81"/>
      <c r="I222" s="77"/>
      <c r="J222" s="78"/>
      <c r="K222" s="79"/>
    </row>
    <row r="223" spans="1:11" ht="16.5">
      <c r="A223" s="145"/>
      <c r="B223" s="13" t="s">
        <v>249</v>
      </c>
      <c r="C223" s="81">
        <v>1</v>
      </c>
      <c r="D223" s="84">
        <f>C209</f>
        <v>0.9</v>
      </c>
      <c r="E223" s="81">
        <f>D223*C223</f>
        <v>0.9</v>
      </c>
      <c r="F223" s="83"/>
      <c r="G223" s="82"/>
      <c r="H223" s="81"/>
      <c r="I223" s="77"/>
      <c r="J223" s="78"/>
      <c r="K223" s="79"/>
    </row>
    <row r="224" spans="1:11" ht="16.5">
      <c r="A224" s="145"/>
      <c r="B224" s="61"/>
      <c r="C224" s="81">
        <v>2</v>
      </c>
      <c r="D224" s="84">
        <f>D209</f>
        <v>2.25</v>
      </c>
      <c r="E224" s="81">
        <f>D224*C224</f>
        <v>4.5</v>
      </c>
      <c r="F224" s="83"/>
      <c r="G224" s="82"/>
      <c r="H224" s="81"/>
      <c r="I224" s="77"/>
      <c r="J224" s="78"/>
      <c r="K224" s="79"/>
    </row>
    <row r="225" spans="1:11" ht="16.5">
      <c r="A225" s="145"/>
      <c r="B225" s="61"/>
      <c r="C225" s="81"/>
      <c r="D225" s="84"/>
      <c r="E225" s="81">
        <f>SUM(E223:E224)</f>
        <v>5.4</v>
      </c>
      <c r="F225" s="83"/>
      <c r="G225" s="85" t="s">
        <v>247</v>
      </c>
      <c r="H225" s="81"/>
      <c r="I225" s="77"/>
      <c r="J225" s="78"/>
      <c r="K225" s="79"/>
    </row>
    <row r="226" spans="1:11" ht="16.5">
      <c r="A226" s="145"/>
      <c r="B226" s="61" t="s">
        <v>250</v>
      </c>
      <c r="C226" s="81"/>
      <c r="D226" s="85"/>
      <c r="E226" s="81"/>
      <c r="F226" s="82"/>
      <c r="G226" s="82"/>
      <c r="H226" s="81"/>
      <c r="I226" s="77"/>
      <c r="J226" s="78"/>
      <c r="K226" s="79"/>
    </row>
    <row r="227" spans="1:11" ht="15.75">
      <c r="A227" s="145"/>
      <c r="B227" s="61" t="s">
        <v>102</v>
      </c>
      <c r="C227" s="81">
        <f>F212</f>
        <v>1.9444499999999998</v>
      </c>
      <c r="D227" s="80" t="s">
        <v>251</v>
      </c>
      <c r="E227" s="24"/>
      <c r="F227" s="24">
        <f aca="true" t="shared" si="2" ref="F227:F233">C227*E227%</f>
        <v>0</v>
      </c>
      <c r="G227" s="53">
        <f aca="true" t="shared" si="3" ref="G227:G233">C227+F227</f>
        <v>1.9444499999999998</v>
      </c>
      <c r="H227" s="86">
        <f>$D$13</f>
        <v>1900</v>
      </c>
      <c r="I227" s="82">
        <v>1</v>
      </c>
      <c r="J227" s="80" t="s">
        <v>251</v>
      </c>
      <c r="K227" s="81">
        <f aca="true" t="shared" si="4" ref="K227:K233">G227*H227/I227</f>
        <v>3694.4549999999995</v>
      </c>
    </row>
    <row r="228" spans="1:11" ht="15.75">
      <c r="A228" s="145"/>
      <c r="B228" s="139" t="s">
        <v>104</v>
      </c>
      <c r="C228" s="81">
        <f>2*(F212-F213)</f>
        <v>2.2688999999999995</v>
      </c>
      <c r="D228" s="80" t="s">
        <v>251</v>
      </c>
      <c r="E228" s="24">
        <v>5</v>
      </c>
      <c r="F228" s="28">
        <f t="shared" si="2"/>
        <v>0.11344499999999998</v>
      </c>
      <c r="G228" s="53">
        <f t="shared" si="3"/>
        <v>2.3823449999999995</v>
      </c>
      <c r="H228" s="87">
        <f>$D$15</f>
        <v>550</v>
      </c>
      <c r="I228" s="82">
        <v>1</v>
      </c>
      <c r="J228" s="80" t="s">
        <v>251</v>
      </c>
      <c r="K228" s="81">
        <f t="shared" si="4"/>
        <v>1310.2897499999997</v>
      </c>
    </row>
    <row r="229" spans="1:11" ht="15.75">
      <c r="A229" s="145"/>
      <c r="B229" s="61" t="s">
        <v>246</v>
      </c>
      <c r="C229" s="81">
        <f>F213</f>
        <v>0.81</v>
      </c>
      <c r="D229" s="80" t="s">
        <v>251</v>
      </c>
      <c r="E229" s="24">
        <v>0</v>
      </c>
      <c r="F229" s="24">
        <f t="shared" si="2"/>
        <v>0</v>
      </c>
      <c r="G229" s="53">
        <f t="shared" si="3"/>
        <v>0.81</v>
      </c>
      <c r="H229" s="87">
        <f>$D$22</f>
        <v>800</v>
      </c>
      <c r="I229" s="82">
        <v>1</v>
      </c>
      <c r="J229" s="80" t="s">
        <v>251</v>
      </c>
      <c r="K229" s="81">
        <f t="shared" si="4"/>
        <v>648</v>
      </c>
    </row>
    <row r="230" spans="1:11" ht="15.75">
      <c r="A230" s="145"/>
      <c r="B230" s="13" t="s">
        <v>162</v>
      </c>
      <c r="C230" s="81">
        <f>E216</f>
        <v>6.21</v>
      </c>
      <c r="D230" s="85" t="s">
        <v>247</v>
      </c>
      <c r="E230" s="24">
        <v>0</v>
      </c>
      <c r="F230" s="24">
        <f t="shared" si="2"/>
        <v>0</v>
      </c>
      <c r="G230" s="53">
        <f t="shared" si="3"/>
        <v>6.21</v>
      </c>
      <c r="H230" s="87">
        <f>$I$93</f>
        <v>31</v>
      </c>
      <c r="I230" s="82">
        <v>1</v>
      </c>
      <c r="J230" s="80" t="s">
        <v>251</v>
      </c>
      <c r="K230" s="81">
        <f t="shared" si="4"/>
        <v>192.51</v>
      </c>
    </row>
    <row r="231" spans="1:11" ht="15.75">
      <c r="A231" s="145"/>
      <c r="B231" s="13" t="s">
        <v>167</v>
      </c>
      <c r="C231" s="81">
        <f>E219</f>
        <v>9</v>
      </c>
      <c r="D231" s="85" t="s">
        <v>247</v>
      </c>
      <c r="E231" s="24">
        <v>0</v>
      </c>
      <c r="F231" s="24">
        <f t="shared" si="2"/>
        <v>0</v>
      </c>
      <c r="G231" s="53">
        <f t="shared" si="3"/>
        <v>9</v>
      </c>
      <c r="H231" s="87">
        <f>$I$133</f>
        <v>14</v>
      </c>
      <c r="I231" s="82">
        <v>1</v>
      </c>
      <c r="J231" s="80" t="s">
        <v>251</v>
      </c>
      <c r="K231" s="81">
        <f t="shared" si="4"/>
        <v>126</v>
      </c>
    </row>
    <row r="232" spans="1:11" ht="15.75">
      <c r="A232" s="145"/>
      <c r="B232" s="13" t="s">
        <v>248</v>
      </c>
      <c r="C232" s="81">
        <f>E222</f>
        <v>4.5</v>
      </c>
      <c r="D232" s="85" t="s">
        <v>247</v>
      </c>
      <c r="E232" s="24">
        <v>0</v>
      </c>
      <c r="F232" s="24">
        <f t="shared" si="2"/>
        <v>0</v>
      </c>
      <c r="G232" s="53">
        <f t="shared" si="3"/>
        <v>4.5</v>
      </c>
      <c r="H232" s="87">
        <f>$I$77</f>
        <v>86</v>
      </c>
      <c r="I232" s="82">
        <v>1</v>
      </c>
      <c r="J232" s="80" t="s">
        <v>251</v>
      </c>
      <c r="K232" s="81">
        <f t="shared" si="4"/>
        <v>387</v>
      </c>
    </row>
    <row r="233" spans="1:11" ht="15.75">
      <c r="A233" s="145"/>
      <c r="B233" s="13" t="s">
        <v>249</v>
      </c>
      <c r="C233" s="81">
        <f>E225</f>
        <v>5.4</v>
      </c>
      <c r="D233" s="85" t="s">
        <v>247</v>
      </c>
      <c r="E233" s="24">
        <v>0</v>
      </c>
      <c r="F233" s="24">
        <f t="shared" si="2"/>
        <v>0</v>
      </c>
      <c r="G233" s="53">
        <f t="shared" si="3"/>
        <v>5.4</v>
      </c>
      <c r="H233" s="87">
        <f>$I$69</f>
        <v>111</v>
      </c>
      <c r="I233" s="82">
        <v>1</v>
      </c>
      <c r="J233" s="80" t="s">
        <v>251</v>
      </c>
      <c r="K233" s="81">
        <f t="shared" si="4"/>
        <v>599.4000000000001</v>
      </c>
    </row>
    <row r="234" spans="1:11" ht="15.75">
      <c r="A234" s="145"/>
      <c r="B234" s="61" t="s">
        <v>252</v>
      </c>
      <c r="C234" s="81">
        <f>C228/3</f>
        <v>0.7562999999999999</v>
      </c>
      <c r="D234" s="80" t="s">
        <v>253</v>
      </c>
      <c r="E234" s="74"/>
      <c r="F234" s="74"/>
      <c r="G234" s="74"/>
      <c r="H234" s="29">
        <f>$D$27</f>
        <v>225</v>
      </c>
      <c r="I234" s="82">
        <v>1</v>
      </c>
      <c r="J234" s="80" t="s">
        <v>254</v>
      </c>
      <c r="K234" s="81">
        <f>C234*H234/I234</f>
        <v>170.16749999999996</v>
      </c>
    </row>
    <row r="235" spans="1:11" ht="15.75">
      <c r="A235" s="145"/>
      <c r="B235" s="24" t="s">
        <v>135</v>
      </c>
      <c r="C235" s="81">
        <v>1</v>
      </c>
      <c r="D235" s="24" t="s">
        <v>136</v>
      </c>
      <c r="E235" s="74"/>
      <c r="F235" s="28">
        <f>C235</f>
        <v>1</v>
      </c>
      <c r="G235" s="74"/>
      <c r="H235" s="88">
        <v>1950</v>
      </c>
      <c r="I235" s="82">
        <v>1</v>
      </c>
      <c r="J235" s="33" t="s">
        <v>136</v>
      </c>
      <c r="K235" s="81">
        <f>H235*F235</f>
        <v>1950</v>
      </c>
    </row>
    <row r="236" spans="1:11" ht="15.75">
      <c r="A236" s="145"/>
      <c r="B236" s="24" t="s">
        <v>137</v>
      </c>
      <c r="C236" s="81">
        <v>1</v>
      </c>
      <c r="D236" s="24" t="s">
        <v>1</v>
      </c>
      <c r="E236" s="74"/>
      <c r="F236" s="28">
        <f aca="true" t="shared" si="5" ref="F236:F241">C236</f>
        <v>1</v>
      </c>
      <c r="G236" s="74"/>
      <c r="H236" s="88">
        <v>850</v>
      </c>
      <c r="I236" s="82">
        <v>1</v>
      </c>
      <c r="J236" s="33" t="s">
        <v>1</v>
      </c>
      <c r="K236" s="81">
        <f aca="true" t="shared" si="6" ref="K236:K241">H236*F236</f>
        <v>850</v>
      </c>
    </row>
    <row r="237" spans="1:11" ht="19.5" customHeight="1">
      <c r="A237" s="145"/>
      <c r="B237" s="24" t="s">
        <v>138</v>
      </c>
      <c r="C237" s="81">
        <v>1</v>
      </c>
      <c r="D237" s="24" t="s">
        <v>1</v>
      </c>
      <c r="E237" s="74"/>
      <c r="F237" s="28">
        <f t="shared" si="5"/>
        <v>1</v>
      </c>
      <c r="G237" s="74"/>
      <c r="H237" s="88">
        <v>1000</v>
      </c>
      <c r="I237" s="82">
        <v>1</v>
      </c>
      <c r="J237" s="33" t="s">
        <v>1</v>
      </c>
      <c r="K237" s="81">
        <f t="shared" si="6"/>
        <v>1000</v>
      </c>
    </row>
    <row r="238" spans="1:11" ht="15.75">
      <c r="A238" s="145"/>
      <c r="B238" s="24" t="s">
        <v>139</v>
      </c>
      <c r="C238" s="81">
        <v>4</v>
      </c>
      <c r="D238" s="24" t="s">
        <v>1</v>
      </c>
      <c r="E238" s="74"/>
      <c r="F238" s="28">
        <f t="shared" si="5"/>
        <v>4</v>
      </c>
      <c r="G238" s="74"/>
      <c r="H238" s="88">
        <v>400</v>
      </c>
      <c r="I238" s="82">
        <v>1</v>
      </c>
      <c r="J238" s="33" t="s">
        <v>1</v>
      </c>
      <c r="K238" s="81">
        <f t="shared" si="6"/>
        <v>1600</v>
      </c>
    </row>
    <row r="239" spans="1:11" ht="15.75">
      <c r="A239" s="145"/>
      <c r="B239" s="24" t="s">
        <v>140</v>
      </c>
      <c r="C239" s="81">
        <v>1</v>
      </c>
      <c r="D239" s="24" t="s">
        <v>1</v>
      </c>
      <c r="E239" s="74"/>
      <c r="F239" s="28">
        <f t="shared" si="5"/>
        <v>1</v>
      </c>
      <c r="G239" s="74"/>
      <c r="H239" s="88">
        <v>5000</v>
      </c>
      <c r="I239" s="82">
        <v>1</v>
      </c>
      <c r="J239" s="33" t="s">
        <v>1</v>
      </c>
      <c r="K239" s="81">
        <f t="shared" si="6"/>
        <v>5000</v>
      </c>
    </row>
    <row r="240" spans="1:11" ht="15.75">
      <c r="A240" s="145"/>
      <c r="B240" s="24" t="s">
        <v>141</v>
      </c>
      <c r="C240" s="81">
        <v>1</v>
      </c>
      <c r="D240" s="24" t="s">
        <v>1</v>
      </c>
      <c r="E240" s="74"/>
      <c r="F240" s="28">
        <f t="shared" si="5"/>
        <v>1</v>
      </c>
      <c r="G240" s="74"/>
      <c r="H240" s="88">
        <v>450</v>
      </c>
      <c r="I240" s="82">
        <v>1</v>
      </c>
      <c r="J240" s="33" t="s">
        <v>1</v>
      </c>
      <c r="K240" s="81">
        <f t="shared" si="6"/>
        <v>450</v>
      </c>
    </row>
    <row r="241" spans="1:11" ht="15.75">
      <c r="A241" s="145"/>
      <c r="B241" s="24" t="s">
        <v>142</v>
      </c>
      <c r="C241" s="81">
        <v>1</v>
      </c>
      <c r="D241" s="24" t="s">
        <v>1</v>
      </c>
      <c r="E241" s="74"/>
      <c r="F241" s="28">
        <f t="shared" si="5"/>
        <v>1</v>
      </c>
      <c r="G241" s="74"/>
      <c r="H241" s="88">
        <v>50</v>
      </c>
      <c r="I241" s="82">
        <v>1</v>
      </c>
      <c r="J241" s="33" t="s">
        <v>1</v>
      </c>
      <c r="K241" s="81">
        <f t="shared" si="6"/>
        <v>50</v>
      </c>
    </row>
    <row r="242" spans="1:11" ht="15.75">
      <c r="A242" s="145"/>
      <c r="B242" s="61" t="s">
        <v>255</v>
      </c>
      <c r="C242" s="85">
        <v>1</v>
      </c>
      <c r="D242" s="80" t="s">
        <v>256</v>
      </c>
      <c r="E242" s="74"/>
      <c r="F242" s="74"/>
      <c r="G242" s="74"/>
      <c r="H242" s="86">
        <v>300</v>
      </c>
      <c r="I242" s="82">
        <v>1</v>
      </c>
      <c r="J242" s="80" t="s">
        <v>256</v>
      </c>
      <c r="K242" s="81">
        <f>C242*H242/I242</f>
        <v>300</v>
      </c>
    </row>
    <row r="243" spans="1:11" ht="15.75">
      <c r="A243" s="145"/>
      <c r="B243" s="61" t="s">
        <v>232</v>
      </c>
      <c r="C243" s="85">
        <f>C209*D209</f>
        <v>2.025</v>
      </c>
      <c r="D243" s="80"/>
      <c r="E243" s="74"/>
      <c r="F243" s="49"/>
      <c r="G243" s="30"/>
      <c r="H243" s="50">
        <v>750</v>
      </c>
      <c r="I243" s="82">
        <v>1</v>
      </c>
      <c r="J243" s="80" t="s">
        <v>98</v>
      </c>
      <c r="K243" s="81">
        <f>H243*C243</f>
        <v>1518.75</v>
      </c>
    </row>
    <row r="244" spans="1:11" ht="16.5">
      <c r="A244" s="130"/>
      <c r="B244" s="25" t="s">
        <v>14</v>
      </c>
      <c r="C244" s="24"/>
      <c r="D244" s="24"/>
      <c r="E244" s="24"/>
      <c r="F244" s="24"/>
      <c r="G244" s="24"/>
      <c r="H244" s="24"/>
      <c r="I244" s="53"/>
      <c r="J244" s="15"/>
      <c r="K244" s="38">
        <f>SUM(K227:K243)</f>
        <v>19846.572249999997</v>
      </c>
    </row>
    <row r="245" spans="1:11" ht="15.75">
      <c r="A245" s="130"/>
      <c r="B245" s="16" t="str">
        <f>$B$7</f>
        <v>Add Towards Overhead and Profit</v>
      </c>
      <c r="C245" s="16"/>
      <c r="D245" s="33"/>
      <c r="E245" s="33"/>
      <c r="F245" s="18">
        <f>$F$7</f>
        <v>15</v>
      </c>
      <c r="G245" s="24"/>
      <c r="H245" s="24"/>
      <c r="I245" s="53"/>
      <c r="J245" s="15"/>
      <c r="K245" s="46">
        <f>+K244*F245%</f>
        <v>2976.9858374999994</v>
      </c>
    </row>
    <row r="246" spans="1:11" ht="15.75">
      <c r="A246" s="130"/>
      <c r="B246" s="16" t="s">
        <v>223</v>
      </c>
      <c r="C246" s="13"/>
      <c r="D246" s="33"/>
      <c r="E246" s="33"/>
      <c r="F246" s="18"/>
      <c r="G246" s="24"/>
      <c r="H246" s="24"/>
      <c r="I246" s="53"/>
      <c r="J246" s="15"/>
      <c r="K246" s="46">
        <f>SUM(K244:K245)</f>
        <v>22823.558087499998</v>
      </c>
    </row>
    <row r="247" spans="1:11" ht="15.75">
      <c r="A247" s="145"/>
      <c r="B247" s="24" t="s">
        <v>233</v>
      </c>
      <c r="C247" s="24"/>
      <c r="D247" s="13"/>
      <c r="E247" s="13"/>
      <c r="F247" s="13"/>
      <c r="G247" s="13"/>
      <c r="H247" s="13"/>
      <c r="I247" s="18">
        <f>K246</f>
        <v>22823.558087499998</v>
      </c>
      <c r="J247" s="64">
        <f>E209</f>
        <v>2.025</v>
      </c>
      <c r="K247" s="15">
        <f>+I247/J247</f>
        <v>11270.892882716049</v>
      </c>
    </row>
    <row r="248" spans="1:11" ht="16.5">
      <c r="A248" s="145"/>
      <c r="B248" s="24" t="s">
        <v>233</v>
      </c>
      <c r="C248" s="13"/>
      <c r="D248" s="25"/>
      <c r="E248" s="25"/>
      <c r="F248" s="25"/>
      <c r="G248" s="25"/>
      <c r="H248" s="25"/>
      <c r="I248" s="14"/>
      <c r="J248" s="26"/>
      <c r="K248" s="68">
        <f>ROUND(K247,0)</f>
        <v>11271</v>
      </c>
    </row>
    <row r="249" spans="1:11" ht="17.25">
      <c r="A249" s="145"/>
      <c r="B249" s="25"/>
      <c r="C249" s="13"/>
      <c r="D249" s="25"/>
      <c r="E249" s="25"/>
      <c r="F249" s="25"/>
      <c r="G249" s="25"/>
      <c r="H249" s="25"/>
      <c r="I249" s="119" t="s">
        <v>224</v>
      </c>
      <c r="J249" s="112"/>
      <c r="K249" s="55">
        <v>11000</v>
      </c>
    </row>
    <row r="250" spans="1:11" ht="16.5">
      <c r="A250" s="145"/>
      <c r="B250" s="25"/>
      <c r="C250" s="13"/>
      <c r="D250" s="25"/>
      <c r="E250" s="25"/>
      <c r="F250" s="25"/>
      <c r="G250" s="25"/>
      <c r="H250" s="25"/>
      <c r="I250" s="14"/>
      <c r="J250" s="26"/>
      <c r="K250" s="69"/>
    </row>
    <row r="251" spans="1:11" ht="37.5" customHeight="1">
      <c r="A251" s="129">
        <f>A228+1</f>
        <v>1</v>
      </c>
      <c r="B251" s="40" t="s">
        <v>326</v>
      </c>
      <c r="C251" s="13"/>
      <c r="D251" s="25"/>
      <c r="E251" s="25"/>
      <c r="F251" s="25"/>
      <c r="G251" s="25"/>
      <c r="H251" s="25"/>
      <c r="I251" s="14"/>
      <c r="J251" s="26"/>
      <c r="K251" s="21"/>
    </row>
    <row r="252" spans="1:11" s="150" customFormat="1" ht="16.5">
      <c r="A252" s="22"/>
      <c r="B252" s="74" t="s">
        <v>241</v>
      </c>
      <c r="C252" s="75">
        <v>0.9</v>
      </c>
      <c r="D252" s="75">
        <v>2.4</v>
      </c>
      <c r="E252" s="75">
        <f>C252*D252</f>
        <v>2.16</v>
      </c>
      <c r="F252" s="76"/>
      <c r="G252" s="76"/>
      <c r="H252" s="76"/>
      <c r="I252" s="77"/>
      <c r="J252" s="78"/>
      <c r="K252" s="79"/>
    </row>
    <row r="253" spans="1:11" s="150" customFormat="1" ht="16.5">
      <c r="A253" s="22"/>
      <c r="B253" s="61" t="s">
        <v>242</v>
      </c>
      <c r="C253" s="79"/>
      <c r="D253" s="80"/>
      <c r="E253" s="81"/>
      <c r="F253" s="82"/>
      <c r="G253" s="82"/>
      <c r="H253" s="81"/>
      <c r="I253" s="77"/>
      <c r="J253" s="78"/>
      <c r="K253" s="79"/>
    </row>
    <row r="254" spans="1:11" s="150" customFormat="1" ht="16.5">
      <c r="A254" s="22"/>
      <c r="B254" s="61" t="s">
        <v>243</v>
      </c>
      <c r="C254" s="81">
        <f>C252</f>
        <v>0.9</v>
      </c>
      <c r="D254" s="81">
        <f>D252</f>
        <v>2.4</v>
      </c>
      <c r="E254" s="81"/>
      <c r="F254" s="83">
        <f>C254*D254</f>
        <v>2.16</v>
      </c>
      <c r="G254" s="82" t="s">
        <v>244</v>
      </c>
      <c r="H254" s="81"/>
      <c r="I254" s="77"/>
      <c r="J254" s="78"/>
      <c r="K254" s="79"/>
    </row>
    <row r="255" spans="1:11" s="150" customFormat="1" ht="16.5">
      <c r="A255" s="22"/>
      <c r="B255" s="61" t="s">
        <v>245</v>
      </c>
      <c r="C255" s="81">
        <f>C254-(0.015*2)</f>
        <v>0.87</v>
      </c>
      <c r="D255" s="84">
        <f>D254-0.015</f>
        <v>2.385</v>
      </c>
      <c r="E255" s="81"/>
      <c r="F255" s="83">
        <f>C255*D255</f>
        <v>2.07495</v>
      </c>
      <c r="G255" s="82" t="s">
        <v>244</v>
      </c>
      <c r="H255" s="81"/>
      <c r="I255" s="77"/>
      <c r="J255" s="78"/>
      <c r="K255" s="79"/>
    </row>
    <row r="256" spans="1:11" s="150" customFormat="1" ht="16.5">
      <c r="A256" s="22"/>
      <c r="B256" s="61" t="s">
        <v>246</v>
      </c>
      <c r="C256" s="81">
        <v>0.45</v>
      </c>
      <c r="D256" s="84">
        <v>1.8</v>
      </c>
      <c r="E256" s="81"/>
      <c r="F256" s="83">
        <f>C256*D256</f>
        <v>0.81</v>
      </c>
      <c r="G256" s="82" t="s">
        <v>244</v>
      </c>
      <c r="H256" s="81"/>
      <c r="I256" s="77"/>
      <c r="J256" s="78"/>
      <c r="K256" s="79"/>
    </row>
    <row r="257" spans="1:11" s="150" customFormat="1" ht="16.5">
      <c r="A257" s="22"/>
      <c r="B257" s="13" t="s">
        <v>327</v>
      </c>
      <c r="C257" s="81">
        <v>2</v>
      </c>
      <c r="D257" s="84">
        <f>C255</f>
        <v>0.87</v>
      </c>
      <c r="E257" s="81">
        <f>D257*C257</f>
        <v>1.74</v>
      </c>
      <c r="F257" s="83"/>
      <c r="G257" s="82"/>
      <c r="H257" s="81"/>
      <c r="I257" s="77"/>
      <c r="J257" s="78"/>
      <c r="K257" s="79"/>
    </row>
    <row r="258" spans="1:11" s="150" customFormat="1" ht="16.5">
      <c r="A258" s="22"/>
      <c r="B258" s="61"/>
      <c r="C258" s="81">
        <v>2</v>
      </c>
      <c r="D258" s="84">
        <f>D255</f>
        <v>2.385</v>
      </c>
      <c r="E258" s="81">
        <f>D258*C258</f>
        <v>4.77</v>
      </c>
      <c r="F258" s="83"/>
      <c r="G258" s="82"/>
      <c r="H258" s="81"/>
      <c r="I258" s="77"/>
      <c r="J258" s="78"/>
      <c r="K258" s="79"/>
    </row>
    <row r="259" spans="1:11" s="150" customFormat="1" ht="16.5">
      <c r="A259" s="22"/>
      <c r="B259" s="61"/>
      <c r="C259" s="81"/>
      <c r="D259" s="84"/>
      <c r="E259" s="81">
        <f>SUM(E257:E258)</f>
        <v>6.51</v>
      </c>
      <c r="F259" s="83"/>
      <c r="G259" s="85" t="s">
        <v>247</v>
      </c>
      <c r="H259" s="81"/>
      <c r="I259" s="77"/>
      <c r="J259" s="78"/>
      <c r="K259" s="79"/>
    </row>
    <row r="260" spans="1:11" s="150" customFormat="1" ht="16.5">
      <c r="A260" s="22"/>
      <c r="B260" s="13" t="s">
        <v>167</v>
      </c>
      <c r="C260" s="81">
        <f>2*2</f>
        <v>4</v>
      </c>
      <c r="D260" s="84">
        <f>C256</f>
        <v>0.45</v>
      </c>
      <c r="E260" s="81">
        <f>D260*C260</f>
        <v>1.8</v>
      </c>
      <c r="F260" s="83"/>
      <c r="G260" s="82"/>
      <c r="H260" s="81"/>
      <c r="I260" s="77"/>
      <c r="J260" s="78"/>
      <c r="K260" s="79"/>
    </row>
    <row r="261" spans="1:11" s="150" customFormat="1" ht="16.5">
      <c r="A261" s="22"/>
      <c r="B261" s="61"/>
      <c r="C261" s="81">
        <f>2*2</f>
        <v>4</v>
      </c>
      <c r="D261" s="84">
        <f>D256</f>
        <v>1.8</v>
      </c>
      <c r="E261" s="81">
        <f>D261*C261</f>
        <v>7.2</v>
      </c>
      <c r="F261" s="83"/>
      <c r="G261" s="82"/>
      <c r="H261" s="81"/>
      <c r="I261" s="77"/>
      <c r="J261" s="78"/>
      <c r="K261" s="79"/>
    </row>
    <row r="262" spans="1:11" s="150" customFormat="1" ht="16.5">
      <c r="A262" s="22"/>
      <c r="B262" s="61"/>
      <c r="C262" s="81"/>
      <c r="D262" s="84"/>
      <c r="E262" s="81">
        <f>SUM(E260:E261)</f>
        <v>9</v>
      </c>
      <c r="F262" s="83"/>
      <c r="G262" s="85" t="s">
        <v>247</v>
      </c>
      <c r="H262" s="81"/>
      <c r="I262" s="77"/>
      <c r="J262" s="78"/>
      <c r="K262" s="79"/>
    </row>
    <row r="263" spans="1:11" s="150" customFormat="1" ht="16.5">
      <c r="A263" s="22"/>
      <c r="B263" s="13" t="s">
        <v>248</v>
      </c>
      <c r="C263" s="81">
        <v>2</v>
      </c>
      <c r="D263" s="84">
        <f>C256</f>
        <v>0.45</v>
      </c>
      <c r="E263" s="81">
        <f>D263*C263</f>
        <v>0.9</v>
      </c>
      <c r="F263" s="83"/>
      <c r="G263" s="82"/>
      <c r="H263" s="81"/>
      <c r="I263" s="77"/>
      <c r="J263" s="78"/>
      <c r="K263" s="79"/>
    </row>
    <row r="264" spans="1:11" s="150" customFormat="1" ht="16.5">
      <c r="A264" s="22"/>
      <c r="B264" s="61"/>
      <c r="C264" s="81">
        <v>2</v>
      </c>
      <c r="D264" s="84">
        <f>D256</f>
        <v>1.8</v>
      </c>
      <c r="E264" s="81">
        <f>D264*C264</f>
        <v>3.6</v>
      </c>
      <c r="F264" s="83"/>
      <c r="G264" s="82"/>
      <c r="H264" s="81"/>
      <c r="I264" s="77"/>
      <c r="J264" s="78"/>
      <c r="K264" s="79"/>
    </row>
    <row r="265" spans="1:11" s="150" customFormat="1" ht="16.5">
      <c r="A265" s="22"/>
      <c r="B265" s="61"/>
      <c r="C265" s="81"/>
      <c r="D265" s="84"/>
      <c r="E265" s="81">
        <f>SUM(E263:E264)</f>
        <v>4.5</v>
      </c>
      <c r="F265" s="83"/>
      <c r="G265" s="85" t="s">
        <v>247</v>
      </c>
      <c r="H265" s="81"/>
      <c r="I265" s="77"/>
      <c r="J265" s="78"/>
      <c r="K265" s="79"/>
    </row>
    <row r="266" spans="1:11" s="150" customFormat="1" ht="16.5">
      <c r="A266" s="22"/>
      <c r="B266" s="13" t="s">
        <v>249</v>
      </c>
      <c r="C266" s="81">
        <v>1</v>
      </c>
      <c r="D266" s="84">
        <f>C252</f>
        <v>0.9</v>
      </c>
      <c r="E266" s="81">
        <f>D266*C266</f>
        <v>0.9</v>
      </c>
      <c r="F266" s="83"/>
      <c r="G266" s="82"/>
      <c r="H266" s="81"/>
      <c r="I266" s="77"/>
      <c r="J266" s="78"/>
      <c r="K266" s="79"/>
    </row>
    <row r="267" spans="1:11" s="150" customFormat="1" ht="16.5">
      <c r="A267" s="22"/>
      <c r="B267" s="61"/>
      <c r="C267" s="81">
        <v>2</v>
      </c>
      <c r="D267" s="84">
        <f>D252</f>
        <v>2.4</v>
      </c>
      <c r="E267" s="81">
        <f>D267*C267</f>
        <v>4.8</v>
      </c>
      <c r="F267" s="83"/>
      <c r="G267" s="82"/>
      <c r="H267" s="81"/>
      <c r="I267" s="77"/>
      <c r="J267" s="78"/>
      <c r="K267" s="79"/>
    </row>
    <row r="268" spans="1:11" s="150" customFormat="1" ht="16.5">
      <c r="A268" s="22"/>
      <c r="B268" s="61"/>
      <c r="C268" s="81"/>
      <c r="D268" s="84"/>
      <c r="E268" s="81">
        <f>SUM(E266:E267)</f>
        <v>5.7</v>
      </c>
      <c r="F268" s="83"/>
      <c r="G268" s="85" t="s">
        <v>247</v>
      </c>
      <c r="H268" s="81"/>
      <c r="I268" s="77"/>
      <c r="J268" s="78"/>
      <c r="K268" s="79"/>
    </row>
    <row r="269" spans="1:11" s="150" customFormat="1" ht="16.5">
      <c r="A269" s="22"/>
      <c r="B269" s="61" t="s">
        <v>250</v>
      </c>
      <c r="C269" s="81"/>
      <c r="D269" s="85"/>
      <c r="E269" s="81"/>
      <c r="F269" s="82"/>
      <c r="G269" s="82"/>
      <c r="H269" s="81"/>
      <c r="I269" s="77"/>
      <c r="J269" s="78"/>
      <c r="K269" s="79"/>
    </row>
    <row r="270" spans="1:11" s="150" customFormat="1" ht="15.75">
      <c r="A270" s="22"/>
      <c r="B270" s="61" t="s">
        <v>330</v>
      </c>
      <c r="C270" s="81">
        <f>F255</f>
        <v>2.07495</v>
      </c>
      <c r="D270" s="80" t="s">
        <v>251</v>
      </c>
      <c r="E270" s="24"/>
      <c r="F270" s="24">
        <f aca="true" t="shared" si="7" ref="F270:F276">C270*E270%</f>
        <v>0</v>
      </c>
      <c r="G270" s="53">
        <f aca="true" t="shared" si="8" ref="G270:G276">C270+F270</f>
        <v>2.07495</v>
      </c>
      <c r="H270" s="81">
        <f>$D$12</f>
        <v>1750</v>
      </c>
      <c r="I270" s="82">
        <v>1</v>
      </c>
      <c r="J270" s="82" t="s">
        <v>251</v>
      </c>
      <c r="K270" s="81">
        <f aca="true" t="shared" si="9" ref="K270:K276">G270*H270/I270</f>
        <v>3631.1625</v>
      </c>
    </row>
    <row r="271" spans="1:11" s="150" customFormat="1" ht="15.75">
      <c r="A271" s="22"/>
      <c r="B271" s="139" t="s">
        <v>104</v>
      </c>
      <c r="C271" s="81">
        <f>2*(F255-F256)</f>
        <v>2.5298999999999996</v>
      </c>
      <c r="D271" s="80" t="s">
        <v>251</v>
      </c>
      <c r="E271" s="24">
        <v>5</v>
      </c>
      <c r="F271" s="24">
        <f t="shared" si="7"/>
        <v>0.126495</v>
      </c>
      <c r="G271" s="53">
        <f t="shared" si="8"/>
        <v>2.6563949999999994</v>
      </c>
      <c r="H271" s="87">
        <f>$D$15</f>
        <v>550</v>
      </c>
      <c r="I271" s="82">
        <v>1</v>
      </c>
      <c r="J271" s="82" t="s">
        <v>251</v>
      </c>
      <c r="K271" s="81">
        <f t="shared" si="9"/>
        <v>1461.0172499999996</v>
      </c>
    </row>
    <row r="272" spans="1:11" s="150" customFormat="1" ht="15.75">
      <c r="A272" s="22"/>
      <c r="B272" s="61" t="s">
        <v>246</v>
      </c>
      <c r="C272" s="81">
        <f>F256</f>
        <v>0.81</v>
      </c>
      <c r="D272" s="80" t="s">
        <v>251</v>
      </c>
      <c r="E272" s="24">
        <v>0</v>
      </c>
      <c r="F272" s="24">
        <f t="shared" si="7"/>
        <v>0</v>
      </c>
      <c r="G272" s="53">
        <f t="shared" si="8"/>
        <v>0.81</v>
      </c>
      <c r="H272" s="87">
        <f>$D$22</f>
        <v>800</v>
      </c>
      <c r="I272" s="82">
        <v>1</v>
      </c>
      <c r="J272" s="82" t="s">
        <v>251</v>
      </c>
      <c r="K272" s="81">
        <f t="shared" si="9"/>
        <v>648</v>
      </c>
    </row>
    <row r="273" spans="1:11" s="150" customFormat="1" ht="15.75">
      <c r="A273" s="22"/>
      <c r="B273" s="13" t="s">
        <v>327</v>
      </c>
      <c r="C273" s="81">
        <f>E259</f>
        <v>6.51</v>
      </c>
      <c r="D273" s="85" t="s">
        <v>247</v>
      </c>
      <c r="E273" s="24">
        <v>0</v>
      </c>
      <c r="F273" s="24">
        <f t="shared" si="7"/>
        <v>0</v>
      </c>
      <c r="G273" s="53">
        <f t="shared" si="8"/>
        <v>6.51</v>
      </c>
      <c r="H273" s="44">
        <f>$I$109</f>
        <v>24</v>
      </c>
      <c r="I273" s="82">
        <v>1</v>
      </c>
      <c r="J273" s="82" t="s">
        <v>251</v>
      </c>
      <c r="K273" s="81">
        <f t="shared" si="9"/>
        <v>156.24</v>
      </c>
    </row>
    <row r="274" spans="1:11" s="150" customFormat="1" ht="15.75">
      <c r="A274" s="22"/>
      <c r="B274" s="13" t="s">
        <v>167</v>
      </c>
      <c r="C274" s="81">
        <f>E262</f>
        <v>9</v>
      </c>
      <c r="D274" s="85" t="s">
        <v>247</v>
      </c>
      <c r="E274" s="24">
        <v>0</v>
      </c>
      <c r="F274" s="24">
        <f t="shared" si="7"/>
        <v>0</v>
      </c>
      <c r="G274" s="53">
        <f t="shared" si="8"/>
        <v>9</v>
      </c>
      <c r="H274" s="87">
        <f>$I$133</f>
        <v>14</v>
      </c>
      <c r="I274" s="82">
        <v>1</v>
      </c>
      <c r="J274" s="82" t="s">
        <v>251</v>
      </c>
      <c r="K274" s="81">
        <f t="shared" si="9"/>
        <v>126</v>
      </c>
    </row>
    <row r="275" spans="1:11" s="150" customFormat="1" ht="15.75">
      <c r="A275" s="22"/>
      <c r="B275" s="13" t="s">
        <v>332</v>
      </c>
      <c r="C275" s="81">
        <f>E265</f>
        <v>4.5</v>
      </c>
      <c r="D275" s="85" t="s">
        <v>247</v>
      </c>
      <c r="E275" s="24">
        <v>0</v>
      </c>
      <c r="F275" s="24">
        <f t="shared" si="7"/>
        <v>0</v>
      </c>
      <c r="G275" s="53">
        <f t="shared" si="8"/>
        <v>4.5</v>
      </c>
      <c r="H275" s="44">
        <f>$I$85</f>
        <v>15</v>
      </c>
      <c r="I275" s="82">
        <v>1</v>
      </c>
      <c r="J275" s="82" t="s">
        <v>251</v>
      </c>
      <c r="K275" s="81">
        <f t="shared" si="9"/>
        <v>67.5</v>
      </c>
    </row>
    <row r="276" spans="1:11" s="150" customFormat="1" ht="15.75">
      <c r="A276" s="22"/>
      <c r="B276" s="13" t="s">
        <v>249</v>
      </c>
      <c r="C276" s="81">
        <f>E268</f>
        <v>5.7</v>
      </c>
      <c r="D276" s="85" t="s">
        <v>247</v>
      </c>
      <c r="E276" s="24">
        <v>0</v>
      </c>
      <c r="F276" s="24">
        <f t="shared" si="7"/>
        <v>0</v>
      </c>
      <c r="G276" s="53">
        <f t="shared" si="8"/>
        <v>5.7</v>
      </c>
      <c r="H276" s="44">
        <f>$I$69</f>
        <v>111</v>
      </c>
      <c r="I276" s="82">
        <v>1</v>
      </c>
      <c r="J276" s="82" t="s">
        <v>251</v>
      </c>
      <c r="K276" s="81">
        <f t="shared" si="9"/>
        <v>632.7</v>
      </c>
    </row>
    <row r="277" spans="1:11" s="150" customFormat="1" ht="15.75">
      <c r="A277" s="22"/>
      <c r="B277" s="61" t="s">
        <v>252</v>
      </c>
      <c r="C277" s="81">
        <f>C271/3</f>
        <v>0.8432999999999998</v>
      </c>
      <c r="D277" s="80" t="s">
        <v>253</v>
      </c>
      <c r="E277" s="74"/>
      <c r="F277" s="74"/>
      <c r="G277" s="74"/>
      <c r="H277" s="29">
        <f>$D$27</f>
        <v>225</v>
      </c>
      <c r="I277" s="82">
        <v>1</v>
      </c>
      <c r="J277" s="82" t="s">
        <v>254</v>
      </c>
      <c r="K277" s="81">
        <f>C277*H277/I277</f>
        <v>189.74249999999995</v>
      </c>
    </row>
    <row r="278" spans="1:16" s="150" customFormat="1" ht="15.75">
      <c r="A278" s="22"/>
      <c r="B278" s="61" t="s">
        <v>328</v>
      </c>
      <c r="C278" s="133">
        <v>1</v>
      </c>
      <c r="D278" s="80" t="s">
        <v>5</v>
      </c>
      <c r="E278" s="74"/>
      <c r="F278" s="74"/>
      <c r="G278" s="74"/>
      <c r="H278" s="81">
        <f>$D$48</f>
        <v>1410</v>
      </c>
      <c r="I278" s="82">
        <v>1</v>
      </c>
      <c r="J278" s="82" t="s">
        <v>329</v>
      </c>
      <c r="K278" s="81">
        <f>C278*H278/I278</f>
        <v>1410</v>
      </c>
      <c r="O278" s="150">
        <v>15</v>
      </c>
      <c r="P278" s="150">
        <v>1360</v>
      </c>
    </row>
    <row r="279" spans="1:11" ht="15.75">
      <c r="A279" s="145"/>
      <c r="B279" s="24" t="s">
        <v>135</v>
      </c>
      <c r="C279" s="81">
        <v>1</v>
      </c>
      <c r="D279" s="24" t="s">
        <v>136</v>
      </c>
      <c r="E279" s="74"/>
      <c r="F279" s="28">
        <f aca="true" t="shared" si="10" ref="F279:F284">C279</f>
        <v>1</v>
      </c>
      <c r="G279" s="74"/>
      <c r="H279" s="88">
        <v>1950</v>
      </c>
      <c r="I279" s="82">
        <v>1</v>
      </c>
      <c r="J279" s="33" t="s">
        <v>136</v>
      </c>
      <c r="K279" s="81">
        <f aca="true" t="shared" si="11" ref="K279:K284">H279*F279</f>
        <v>1950</v>
      </c>
    </row>
    <row r="280" spans="1:11" ht="15.75">
      <c r="A280" s="145"/>
      <c r="B280" s="24" t="s">
        <v>137</v>
      </c>
      <c r="C280" s="81">
        <v>1</v>
      </c>
      <c r="D280" s="24" t="s">
        <v>1</v>
      </c>
      <c r="E280" s="74"/>
      <c r="F280" s="28">
        <f t="shared" si="10"/>
        <v>1</v>
      </c>
      <c r="G280" s="74"/>
      <c r="H280" s="88">
        <v>850</v>
      </c>
      <c r="I280" s="82">
        <v>1</v>
      </c>
      <c r="J280" s="33" t="s">
        <v>1</v>
      </c>
      <c r="K280" s="81">
        <f t="shared" si="11"/>
        <v>850</v>
      </c>
    </row>
    <row r="281" spans="1:11" ht="19.5" customHeight="1">
      <c r="A281" s="145"/>
      <c r="B281" s="24" t="s">
        <v>138</v>
      </c>
      <c r="C281" s="81">
        <v>1</v>
      </c>
      <c r="D281" s="24" t="s">
        <v>1</v>
      </c>
      <c r="E281" s="74"/>
      <c r="F281" s="28">
        <f t="shared" si="10"/>
        <v>1</v>
      </c>
      <c r="G281" s="74"/>
      <c r="H281" s="88">
        <v>1000</v>
      </c>
      <c r="I281" s="82">
        <v>1</v>
      </c>
      <c r="J281" s="33" t="s">
        <v>1</v>
      </c>
      <c r="K281" s="81">
        <f t="shared" si="11"/>
        <v>1000</v>
      </c>
    </row>
    <row r="282" spans="1:11" ht="15.75">
      <c r="A282" s="145"/>
      <c r="B282" s="24" t="s">
        <v>139</v>
      </c>
      <c r="C282" s="81">
        <v>4</v>
      </c>
      <c r="D282" s="24" t="s">
        <v>1</v>
      </c>
      <c r="E282" s="74"/>
      <c r="F282" s="28">
        <f t="shared" si="10"/>
        <v>4</v>
      </c>
      <c r="G282" s="74"/>
      <c r="H282" s="88">
        <v>400</v>
      </c>
      <c r="I282" s="82">
        <v>1</v>
      </c>
      <c r="J282" s="33" t="s">
        <v>1</v>
      </c>
      <c r="K282" s="81">
        <f t="shared" si="11"/>
        <v>1600</v>
      </c>
    </row>
    <row r="283" spans="1:11" ht="15.75">
      <c r="A283" s="145"/>
      <c r="B283" s="24" t="s">
        <v>141</v>
      </c>
      <c r="C283" s="81">
        <v>1</v>
      </c>
      <c r="D283" s="24" t="s">
        <v>1</v>
      </c>
      <c r="E283" s="74"/>
      <c r="F283" s="28">
        <f t="shared" si="10"/>
        <v>1</v>
      </c>
      <c r="G283" s="74"/>
      <c r="H283" s="88">
        <v>450</v>
      </c>
      <c r="I283" s="82">
        <v>1</v>
      </c>
      <c r="J283" s="33" t="s">
        <v>1</v>
      </c>
      <c r="K283" s="81">
        <f t="shared" si="11"/>
        <v>450</v>
      </c>
    </row>
    <row r="284" spans="1:11" ht="15.75">
      <c r="A284" s="145"/>
      <c r="B284" s="24" t="s">
        <v>142</v>
      </c>
      <c r="C284" s="81">
        <v>1</v>
      </c>
      <c r="D284" s="24" t="s">
        <v>1</v>
      </c>
      <c r="E284" s="74"/>
      <c r="F284" s="28">
        <f t="shared" si="10"/>
        <v>1</v>
      </c>
      <c r="G284" s="74"/>
      <c r="H284" s="88">
        <v>50</v>
      </c>
      <c r="I284" s="82">
        <v>1</v>
      </c>
      <c r="J284" s="33" t="s">
        <v>1</v>
      </c>
      <c r="K284" s="81">
        <f t="shared" si="11"/>
        <v>50</v>
      </c>
    </row>
    <row r="285" spans="1:11" ht="15.75">
      <c r="A285" s="145"/>
      <c r="B285" s="61" t="s">
        <v>255</v>
      </c>
      <c r="C285" s="85">
        <v>1</v>
      </c>
      <c r="D285" s="80" t="s">
        <v>256</v>
      </c>
      <c r="E285" s="74"/>
      <c r="F285" s="74"/>
      <c r="G285" s="74"/>
      <c r="H285" s="86">
        <v>300</v>
      </c>
      <c r="I285" s="82">
        <v>1</v>
      </c>
      <c r="J285" s="80" t="s">
        <v>256</v>
      </c>
      <c r="K285" s="81">
        <f>C285*H285/I285</f>
        <v>300</v>
      </c>
    </row>
    <row r="286" spans="1:11" ht="15.75">
      <c r="A286" s="145"/>
      <c r="B286" s="61" t="s">
        <v>232</v>
      </c>
      <c r="C286" s="85">
        <f>E252</f>
        <v>2.16</v>
      </c>
      <c r="D286" s="80"/>
      <c r="E286" s="74"/>
      <c r="F286" s="49"/>
      <c r="G286" s="30"/>
      <c r="H286" s="50">
        <v>500</v>
      </c>
      <c r="I286" s="82">
        <v>1</v>
      </c>
      <c r="J286" s="80" t="s">
        <v>98</v>
      </c>
      <c r="K286" s="81">
        <f>H286*C286</f>
        <v>1080</v>
      </c>
    </row>
    <row r="287" spans="1:11" ht="16.5">
      <c r="A287" s="130"/>
      <c r="B287" s="25" t="s">
        <v>14</v>
      </c>
      <c r="C287" s="24"/>
      <c r="D287" s="24"/>
      <c r="E287" s="24"/>
      <c r="F287" s="24"/>
      <c r="G287" s="24"/>
      <c r="H287" s="24"/>
      <c r="I287" s="53"/>
      <c r="J287" s="15"/>
      <c r="K287" s="38">
        <f>SUM(K270:K286)</f>
        <v>15602.362249999998</v>
      </c>
    </row>
    <row r="288" spans="1:11" ht="15.75">
      <c r="A288" s="130"/>
      <c r="B288" s="16" t="str">
        <f>$B$7</f>
        <v>Add Towards Overhead and Profit</v>
      </c>
      <c r="C288" s="16"/>
      <c r="D288" s="33"/>
      <c r="E288" s="33"/>
      <c r="F288" s="18">
        <f>$F$7</f>
        <v>15</v>
      </c>
      <c r="G288" s="24"/>
      <c r="H288" s="24"/>
      <c r="I288" s="53"/>
      <c r="J288" s="15"/>
      <c r="K288" s="46">
        <f>+K287*F288%</f>
        <v>2340.3543374999995</v>
      </c>
    </row>
    <row r="289" spans="1:11" ht="15.75">
      <c r="A289" s="130"/>
      <c r="B289" s="16" t="s">
        <v>223</v>
      </c>
      <c r="C289" s="13"/>
      <c r="D289" s="33"/>
      <c r="E289" s="33"/>
      <c r="F289" s="18"/>
      <c r="G289" s="24"/>
      <c r="H289" s="24"/>
      <c r="I289" s="53"/>
      <c r="J289" s="15"/>
      <c r="K289" s="46">
        <f>SUM(K287:K288)</f>
        <v>17942.7165875</v>
      </c>
    </row>
    <row r="290" spans="1:11" ht="15.75">
      <c r="A290" s="145"/>
      <c r="B290" s="24" t="s">
        <v>233</v>
      </c>
      <c r="C290" s="24"/>
      <c r="D290" s="13"/>
      <c r="E290" s="13"/>
      <c r="F290" s="13"/>
      <c r="G290" s="13"/>
      <c r="H290" s="13"/>
      <c r="I290" s="18">
        <f>K289</f>
        <v>17942.7165875</v>
      </c>
      <c r="J290" s="64">
        <f>E252</f>
        <v>2.16</v>
      </c>
      <c r="K290" s="15">
        <f>+I290/J290</f>
        <v>8306.813234953703</v>
      </c>
    </row>
    <row r="291" spans="1:11" ht="16.5">
      <c r="A291" s="145"/>
      <c r="B291" s="24" t="s">
        <v>233</v>
      </c>
      <c r="C291" s="13"/>
      <c r="D291" s="25"/>
      <c r="E291" s="25"/>
      <c r="F291" s="25"/>
      <c r="G291" s="25"/>
      <c r="H291" s="25"/>
      <c r="I291" s="14"/>
      <c r="J291" s="26"/>
      <c r="K291" s="68">
        <f>ROUND(K290,0)</f>
        <v>8307</v>
      </c>
    </row>
    <row r="292" spans="1:11" ht="17.25">
      <c r="A292" s="145"/>
      <c r="B292" s="25"/>
      <c r="C292" s="13"/>
      <c r="D292" s="25"/>
      <c r="E292" s="25"/>
      <c r="F292" s="25"/>
      <c r="G292" s="25"/>
      <c r="H292" s="25"/>
      <c r="I292" s="119" t="s">
        <v>224</v>
      </c>
      <c r="J292" s="112"/>
      <c r="K292" s="55">
        <v>8500</v>
      </c>
    </row>
    <row r="293" spans="1:11" ht="49.5">
      <c r="A293" s="129">
        <f>A208+1</f>
        <v>4</v>
      </c>
      <c r="B293" s="40" t="s">
        <v>48</v>
      </c>
      <c r="C293" s="13"/>
      <c r="D293" s="25"/>
      <c r="E293" s="25"/>
      <c r="F293" s="25"/>
      <c r="G293" s="25"/>
      <c r="H293" s="25"/>
      <c r="I293" s="14"/>
      <c r="J293" s="26"/>
      <c r="K293" s="69"/>
    </row>
    <row r="294" spans="1:11" ht="16.5">
      <c r="A294" s="129"/>
      <c r="B294" s="40" t="s">
        <v>234</v>
      </c>
      <c r="C294" s="13"/>
      <c r="D294" s="25"/>
      <c r="E294" s="47">
        <v>2.4</v>
      </c>
      <c r="F294" s="56" t="s">
        <v>225</v>
      </c>
      <c r="G294" s="57">
        <v>2.25</v>
      </c>
      <c r="H294" s="57" t="s">
        <v>225</v>
      </c>
      <c r="I294" s="59">
        <f>G294*E294</f>
        <v>5.3999999999999995</v>
      </c>
      <c r="J294" s="72">
        <f>I294+I295</f>
        <v>9</v>
      </c>
      <c r="K294" s="69"/>
    </row>
    <row r="295" spans="1:11" ht="16.5">
      <c r="A295" s="129"/>
      <c r="B295" s="40" t="s">
        <v>235</v>
      </c>
      <c r="C295" s="13"/>
      <c r="D295" s="25"/>
      <c r="E295" s="47">
        <v>1.5</v>
      </c>
      <c r="F295" s="56" t="s">
        <v>225</v>
      </c>
      <c r="G295" s="57">
        <v>2.4</v>
      </c>
      <c r="H295" s="57" t="s">
        <v>225</v>
      </c>
      <c r="I295" s="59">
        <f>G295*E295</f>
        <v>3.5999999999999996</v>
      </c>
      <c r="J295" s="26"/>
      <c r="K295" s="69"/>
    </row>
    <row r="296" spans="1:11" ht="19.5" customHeight="1">
      <c r="A296" s="129"/>
      <c r="B296" s="139" t="s">
        <v>212</v>
      </c>
      <c r="C296" s="24">
        <v>1</v>
      </c>
      <c r="D296" s="24">
        <f>E294</f>
        <v>2.4</v>
      </c>
      <c r="E296" s="24">
        <f>G294</f>
        <v>2.25</v>
      </c>
      <c r="F296" s="24">
        <f>E296*D296*C296</f>
        <v>5.3999999999999995</v>
      </c>
      <c r="G296" s="24"/>
      <c r="H296" s="42">
        <f>F296*G296%</f>
        <v>0</v>
      </c>
      <c r="I296" s="49">
        <f>F296+H296</f>
        <v>5.3999999999999995</v>
      </c>
      <c r="J296" s="44">
        <f>$D$26</f>
        <v>1680</v>
      </c>
      <c r="K296" s="44">
        <f>+J296*I296</f>
        <v>9072</v>
      </c>
    </row>
    <row r="297" spans="1:11" ht="19.5" customHeight="1">
      <c r="A297" s="129"/>
      <c r="B297" s="24" t="s">
        <v>236</v>
      </c>
      <c r="C297" s="24">
        <v>6</v>
      </c>
      <c r="D297" s="24"/>
      <c r="E297" s="24"/>
      <c r="F297" s="24">
        <f>C297</f>
        <v>6</v>
      </c>
      <c r="G297" s="24"/>
      <c r="H297" s="42"/>
      <c r="I297" s="49">
        <f>F297</f>
        <v>6</v>
      </c>
      <c r="J297" s="44">
        <f>$D$59</f>
        <v>505</v>
      </c>
      <c r="K297" s="44">
        <f>+J297*I297</f>
        <v>3030</v>
      </c>
    </row>
    <row r="298" spans="1:11" ht="15.75">
      <c r="A298" s="145"/>
      <c r="B298" s="30" t="s">
        <v>222</v>
      </c>
      <c r="C298" s="30"/>
      <c r="D298" s="42"/>
      <c r="E298" s="30"/>
      <c r="F298" s="49"/>
      <c r="G298" s="30"/>
      <c r="H298" s="50"/>
      <c r="I298" s="49"/>
      <c r="J298" s="44"/>
      <c r="K298" s="44">
        <v>1500</v>
      </c>
    </row>
    <row r="299" spans="1:11" ht="16.5">
      <c r="A299" s="145"/>
      <c r="B299" s="25" t="s">
        <v>14</v>
      </c>
      <c r="C299" s="30"/>
      <c r="D299" s="30"/>
      <c r="E299" s="30"/>
      <c r="F299" s="30"/>
      <c r="G299" s="30"/>
      <c r="H299" s="30"/>
      <c r="I299" s="43"/>
      <c r="J299" s="44"/>
      <c r="K299" s="51">
        <f>SUM(K296:K298)</f>
        <v>13602</v>
      </c>
    </row>
    <row r="300" spans="1:11" ht="15.75">
      <c r="A300" s="145"/>
      <c r="B300" s="16" t="str">
        <f>$B$7</f>
        <v>Add Towards Overhead and Profit</v>
      </c>
      <c r="C300" s="60"/>
      <c r="D300" s="52"/>
      <c r="E300" s="52"/>
      <c r="F300" s="18">
        <f>$F$7</f>
        <v>15</v>
      </c>
      <c r="G300" s="24"/>
      <c r="H300" s="24"/>
      <c r="I300" s="53"/>
      <c r="J300" s="15"/>
      <c r="K300" s="46">
        <f>+K299*F300%</f>
        <v>2040.3</v>
      </c>
    </row>
    <row r="301" spans="1:11" ht="15.75">
      <c r="A301" s="145"/>
      <c r="B301" s="16" t="s">
        <v>223</v>
      </c>
      <c r="C301" s="60"/>
      <c r="D301" s="52"/>
      <c r="E301" s="52"/>
      <c r="F301" s="18"/>
      <c r="G301" s="24"/>
      <c r="H301" s="24"/>
      <c r="I301" s="53"/>
      <c r="J301" s="15"/>
      <c r="K301" s="46">
        <f>SUM(K299:K300)</f>
        <v>15642.3</v>
      </c>
    </row>
    <row r="302" spans="1:11" ht="16.5">
      <c r="A302" s="145"/>
      <c r="B302" s="9" t="s">
        <v>238</v>
      </c>
      <c r="C302" s="60"/>
      <c r="D302" s="52"/>
      <c r="E302" s="52"/>
      <c r="F302" s="18"/>
      <c r="G302" s="24"/>
      <c r="H302" s="24"/>
      <c r="I302" s="53"/>
      <c r="J302" s="73">
        <f>I294</f>
        <v>5.3999999999999995</v>
      </c>
      <c r="K302" s="46">
        <f>K301/J302</f>
        <v>2896.722222222222</v>
      </c>
    </row>
    <row r="303" spans="1:11" ht="17.25">
      <c r="A303" s="145"/>
      <c r="B303" s="25"/>
      <c r="C303" s="13"/>
      <c r="D303" s="25"/>
      <c r="E303" s="25"/>
      <c r="F303" s="25"/>
      <c r="G303" s="25"/>
      <c r="H303" s="25"/>
      <c r="I303" s="119" t="s">
        <v>224</v>
      </c>
      <c r="J303" s="112"/>
      <c r="K303" s="55">
        <v>3000</v>
      </c>
    </row>
    <row r="304" spans="1:11" ht="16.5">
      <c r="A304" s="145"/>
      <c r="B304" s="25"/>
      <c r="C304" s="13"/>
      <c r="D304" s="25"/>
      <c r="E304" s="25"/>
      <c r="F304" s="25"/>
      <c r="G304" s="25"/>
      <c r="H304" s="25"/>
      <c r="I304" s="14"/>
      <c r="J304" s="26"/>
      <c r="K304" s="69"/>
    </row>
    <row r="305" spans="1:11" ht="16.5">
      <c r="A305" s="129">
        <f>A293+1</f>
        <v>5</v>
      </c>
      <c r="B305" s="339" t="s">
        <v>50</v>
      </c>
      <c r="C305" s="340"/>
      <c r="D305" s="340"/>
      <c r="E305" s="340"/>
      <c r="F305" s="340"/>
      <c r="G305" s="340"/>
      <c r="H305" s="340"/>
      <c r="I305" s="341"/>
      <c r="J305" s="26"/>
      <c r="K305" s="69"/>
    </row>
    <row r="306" spans="1:11" ht="16.5">
      <c r="A306" s="129"/>
      <c r="B306" s="40" t="s">
        <v>239</v>
      </c>
      <c r="C306" s="13"/>
      <c r="D306" s="25"/>
      <c r="E306" s="47">
        <v>0.91</v>
      </c>
      <c r="F306" s="56" t="s">
        <v>225</v>
      </c>
      <c r="G306" s="57">
        <v>2.25</v>
      </c>
      <c r="H306" s="57" t="s">
        <v>225</v>
      </c>
      <c r="I306" s="59">
        <f>G306*E306</f>
        <v>2.0475</v>
      </c>
      <c r="J306" s="72"/>
      <c r="K306" s="69"/>
    </row>
    <row r="307" spans="1:11" ht="19.5" customHeight="1">
      <c r="A307" s="129"/>
      <c r="B307" s="139" t="s">
        <v>212</v>
      </c>
      <c r="C307" s="24">
        <v>1</v>
      </c>
      <c r="D307" s="24">
        <f>E306</f>
        <v>0.91</v>
      </c>
      <c r="E307" s="24">
        <f>G306</f>
        <v>2.25</v>
      </c>
      <c r="F307" s="24">
        <f>E307*D307*C307</f>
        <v>2.0475</v>
      </c>
      <c r="G307" s="24"/>
      <c r="H307" s="42">
        <f>F307*G307%</f>
        <v>0</v>
      </c>
      <c r="I307" s="49">
        <f>F307+H307</f>
        <v>2.0475</v>
      </c>
      <c r="J307" s="44">
        <f>$D$26</f>
        <v>1680</v>
      </c>
      <c r="K307" s="44">
        <f>+J307*I307</f>
        <v>3439.7999999999997</v>
      </c>
    </row>
    <row r="308" spans="1:11" ht="16.5">
      <c r="A308" s="129"/>
      <c r="B308" s="24" t="s">
        <v>144</v>
      </c>
      <c r="C308" s="24">
        <v>1</v>
      </c>
      <c r="D308" s="24"/>
      <c r="E308" s="24"/>
      <c r="F308" s="24">
        <f>C308</f>
        <v>1</v>
      </c>
      <c r="G308" s="24"/>
      <c r="H308" s="42"/>
      <c r="I308" s="49">
        <f>F308</f>
        <v>1</v>
      </c>
      <c r="J308" s="44">
        <f>$D$52</f>
        <v>7650</v>
      </c>
      <c r="K308" s="44">
        <f>+J308*I308</f>
        <v>7650</v>
      </c>
    </row>
    <row r="309" spans="1:11" ht="19.5" customHeight="1">
      <c r="A309" s="129"/>
      <c r="B309" s="24" t="s">
        <v>237</v>
      </c>
      <c r="C309" s="24">
        <v>1</v>
      </c>
      <c r="D309" s="24"/>
      <c r="E309" s="24"/>
      <c r="F309" s="24">
        <f>C309</f>
        <v>1</v>
      </c>
      <c r="G309" s="24"/>
      <c r="H309" s="42"/>
      <c r="I309" s="49">
        <f>F309</f>
        <v>1</v>
      </c>
      <c r="J309" s="44">
        <f>$D$43</f>
        <v>1950</v>
      </c>
      <c r="K309" s="44">
        <f>+J309*I309</f>
        <v>1950</v>
      </c>
    </row>
    <row r="310" spans="1:11" ht="15.75">
      <c r="A310" s="145"/>
      <c r="B310" s="30" t="s">
        <v>222</v>
      </c>
      <c r="C310" s="30"/>
      <c r="D310" s="42"/>
      <c r="E310" s="30"/>
      <c r="F310" s="49"/>
      <c r="G310" s="30"/>
      <c r="H310" s="50"/>
      <c r="I310" s="49"/>
      <c r="J310" s="44"/>
      <c r="K310" s="44">
        <v>1000</v>
      </c>
    </row>
    <row r="311" spans="1:11" ht="16.5">
      <c r="A311" s="145"/>
      <c r="B311" s="25" t="s">
        <v>14</v>
      </c>
      <c r="C311" s="30"/>
      <c r="D311" s="30"/>
      <c r="E311" s="30"/>
      <c r="F311" s="30"/>
      <c r="G311" s="30"/>
      <c r="H311" s="30"/>
      <c r="I311" s="43"/>
      <c r="J311" s="44"/>
      <c r="K311" s="51">
        <f>SUM(K307:K310)</f>
        <v>14039.8</v>
      </c>
    </row>
    <row r="312" spans="1:11" ht="15.75">
      <c r="A312" s="145"/>
      <c r="B312" s="16" t="str">
        <f>$B$7</f>
        <v>Add Towards Overhead and Profit</v>
      </c>
      <c r="C312" s="60"/>
      <c r="D312" s="52"/>
      <c r="E312" s="52"/>
      <c r="F312" s="18">
        <f>$F$7</f>
        <v>15</v>
      </c>
      <c r="G312" s="24"/>
      <c r="H312" s="24"/>
      <c r="I312" s="53"/>
      <c r="J312" s="15"/>
      <c r="K312" s="46">
        <f>+K311*F312%</f>
        <v>2105.97</v>
      </c>
    </row>
    <row r="313" spans="1:11" ht="15.75">
      <c r="A313" s="145"/>
      <c r="B313" s="16" t="s">
        <v>223</v>
      </c>
      <c r="C313" s="60"/>
      <c r="D313" s="52"/>
      <c r="E313" s="52"/>
      <c r="F313" s="18"/>
      <c r="G313" s="24"/>
      <c r="H313" s="24"/>
      <c r="I313" s="53"/>
      <c r="J313" s="15"/>
      <c r="K313" s="46">
        <f>SUM(K311:K312)</f>
        <v>16145.769999999999</v>
      </c>
    </row>
    <row r="314" spans="1:11" ht="16.5">
      <c r="A314" s="145"/>
      <c r="B314" s="9" t="s">
        <v>238</v>
      </c>
      <c r="C314" s="60"/>
      <c r="D314" s="52"/>
      <c r="E314" s="52"/>
      <c r="F314" s="18"/>
      <c r="G314" s="24"/>
      <c r="H314" s="24"/>
      <c r="I314" s="53"/>
      <c r="J314" s="73">
        <f>I306</f>
        <v>2.0475</v>
      </c>
      <c r="K314" s="46">
        <f>K313/J314</f>
        <v>7885.601953601953</v>
      </c>
    </row>
    <row r="315" spans="1:11" ht="16.5">
      <c r="A315" s="145"/>
      <c r="B315" s="25"/>
      <c r="C315" s="13"/>
      <c r="D315" s="25"/>
      <c r="E315" s="25"/>
      <c r="F315" s="25"/>
      <c r="G315" s="25"/>
      <c r="H315" s="25"/>
      <c r="I315" s="54" t="s">
        <v>224</v>
      </c>
      <c r="J315" s="26"/>
      <c r="K315" s="69">
        <v>7500</v>
      </c>
    </row>
    <row r="316" spans="1:11" ht="16.5">
      <c r="A316" s="129">
        <f>A305+1</f>
        <v>6</v>
      </c>
      <c r="B316" s="40" t="s">
        <v>30</v>
      </c>
      <c r="C316" s="47"/>
      <c r="D316" s="47"/>
      <c r="E316" s="47">
        <v>3</v>
      </c>
      <c r="F316" s="56" t="s">
        <v>225</v>
      </c>
      <c r="G316" s="57">
        <v>2.7</v>
      </c>
      <c r="H316" s="57" t="s">
        <v>225</v>
      </c>
      <c r="I316" s="58">
        <f>G316*E316</f>
        <v>8.100000000000001</v>
      </c>
      <c r="J316" s="44"/>
      <c r="K316" s="44"/>
    </row>
    <row r="317" spans="1:11" ht="16.5">
      <c r="A317" s="145"/>
      <c r="B317" s="338" t="s">
        <v>226</v>
      </c>
      <c r="C317" s="338"/>
      <c r="D317" s="338"/>
      <c r="E317" s="47">
        <v>3</v>
      </c>
      <c r="F317" s="47" t="s">
        <v>225</v>
      </c>
      <c r="G317" s="57"/>
      <c r="H317" s="57"/>
      <c r="I317" s="59"/>
      <c r="J317" s="44"/>
      <c r="K317" s="44"/>
    </row>
    <row r="318" spans="1:11" ht="15.75">
      <c r="A318" s="145"/>
      <c r="B318" s="60" t="s">
        <v>227</v>
      </c>
      <c r="C318" s="50">
        <f>E316/0.6</f>
        <v>5</v>
      </c>
      <c r="D318" s="30">
        <v>3</v>
      </c>
      <c r="E318" s="30"/>
      <c r="F318" s="42">
        <f>C318*D318</f>
        <v>15</v>
      </c>
      <c r="G318" s="30">
        <v>5</v>
      </c>
      <c r="H318" s="42">
        <f>F318*G318%</f>
        <v>0.75</v>
      </c>
      <c r="I318" s="43">
        <f>F318+H318</f>
        <v>15.75</v>
      </c>
      <c r="J318" s="44">
        <v>85</v>
      </c>
      <c r="K318" s="44">
        <f aca="true" t="shared" si="12" ref="K318:K327">+J318*I318</f>
        <v>1338.75</v>
      </c>
    </row>
    <row r="319" spans="1:11" ht="15.75">
      <c r="A319" s="145"/>
      <c r="B319" s="60" t="s">
        <v>228</v>
      </c>
      <c r="C319" s="50">
        <f>G316/0.6</f>
        <v>4.500000000000001</v>
      </c>
      <c r="D319" s="60">
        <f>E316</f>
        <v>3</v>
      </c>
      <c r="E319" s="60"/>
      <c r="F319" s="42">
        <f>C319*D319</f>
        <v>13.500000000000004</v>
      </c>
      <c r="G319" s="30">
        <v>5</v>
      </c>
      <c r="H319" s="42">
        <f>F319*G319%</f>
        <v>0.6750000000000003</v>
      </c>
      <c r="I319" s="43">
        <f>F319+H319</f>
        <v>14.175000000000004</v>
      </c>
      <c r="J319" s="44">
        <v>85</v>
      </c>
      <c r="K319" s="44">
        <f t="shared" si="12"/>
        <v>1204.8750000000005</v>
      </c>
    </row>
    <row r="320" spans="1:11" ht="15.75">
      <c r="A320" s="145"/>
      <c r="B320" s="139" t="s">
        <v>99</v>
      </c>
      <c r="C320" s="60">
        <v>1</v>
      </c>
      <c r="D320" s="60">
        <f>E316</f>
        <v>3</v>
      </c>
      <c r="E320" s="60">
        <f>G316</f>
        <v>2.7</v>
      </c>
      <c r="F320" s="42">
        <f>C320*D320*E320</f>
        <v>8.100000000000001</v>
      </c>
      <c r="G320" s="30">
        <v>5</v>
      </c>
      <c r="H320" s="42">
        <f>F320*G320%</f>
        <v>0.4050000000000001</v>
      </c>
      <c r="I320" s="43">
        <f>F320+H320</f>
        <v>8.505</v>
      </c>
      <c r="J320" s="44">
        <f>$D$9</f>
        <v>550</v>
      </c>
      <c r="K320" s="44">
        <f t="shared" si="12"/>
        <v>4677.75</v>
      </c>
    </row>
    <row r="321" spans="1:11" ht="15.75">
      <c r="A321" s="145"/>
      <c r="B321" s="139" t="s">
        <v>104</v>
      </c>
      <c r="C321" s="60">
        <v>1</v>
      </c>
      <c r="D321" s="60">
        <f>E316</f>
        <v>3</v>
      </c>
      <c r="E321" s="60">
        <v>3.35</v>
      </c>
      <c r="F321" s="42">
        <f>C321*D321*E321</f>
        <v>10.05</v>
      </c>
      <c r="G321" s="60"/>
      <c r="H321" s="30"/>
      <c r="I321" s="43"/>
      <c r="J321" s="44"/>
      <c r="K321" s="44"/>
    </row>
    <row r="322" spans="1:11" ht="15.75">
      <c r="A322" s="145"/>
      <c r="B322" s="139"/>
      <c r="C322" s="60">
        <v>-1</v>
      </c>
      <c r="D322" s="60">
        <v>2.7</v>
      </c>
      <c r="E322" s="60">
        <f>2.35-1.15</f>
        <v>1.2000000000000002</v>
      </c>
      <c r="F322" s="42">
        <f>C322*D322*E322</f>
        <v>-3.2400000000000007</v>
      </c>
      <c r="G322" s="60"/>
      <c r="H322" s="30"/>
      <c r="I322" s="43"/>
      <c r="J322" s="44"/>
      <c r="K322" s="44"/>
    </row>
    <row r="323" spans="1:11" ht="15.75">
      <c r="A323" s="145"/>
      <c r="B323" s="139"/>
      <c r="C323" s="60"/>
      <c r="D323" s="60"/>
      <c r="E323" s="60"/>
      <c r="F323" s="42">
        <f>SUM(F321:F322)</f>
        <v>6.8100000000000005</v>
      </c>
      <c r="G323" s="60">
        <v>10</v>
      </c>
      <c r="H323" s="30">
        <f>F323*G323%</f>
        <v>0.681</v>
      </c>
      <c r="I323" s="43">
        <f>F323+H323</f>
        <v>7.4910000000000005</v>
      </c>
      <c r="J323" s="44">
        <f>$D$15</f>
        <v>550</v>
      </c>
      <c r="K323" s="44">
        <f>+J323*I323</f>
        <v>4120.05</v>
      </c>
    </row>
    <row r="324" spans="1:11" ht="15.75">
      <c r="A324" s="145"/>
      <c r="B324" s="139" t="s">
        <v>315</v>
      </c>
      <c r="C324" s="60">
        <v>1</v>
      </c>
      <c r="D324" s="60">
        <v>2.7</v>
      </c>
      <c r="E324" s="60">
        <f>2.35-1.15</f>
        <v>1.2000000000000002</v>
      </c>
      <c r="F324" s="42">
        <f>C324*D324*E324</f>
        <v>3.2400000000000007</v>
      </c>
      <c r="G324" s="60">
        <v>10</v>
      </c>
      <c r="H324" s="30">
        <f>F324*G324%</f>
        <v>0.32400000000000007</v>
      </c>
      <c r="I324" s="43">
        <f>F324+H324</f>
        <v>3.564000000000001</v>
      </c>
      <c r="J324" s="44">
        <f>$D$17</f>
        <v>500</v>
      </c>
      <c r="K324" s="44">
        <f>+J324*I324</f>
        <v>1782.0000000000005</v>
      </c>
    </row>
    <row r="325" spans="1:11" ht="15.75">
      <c r="A325" s="145"/>
      <c r="B325" s="30" t="s">
        <v>117</v>
      </c>
      <c r="C325" s="30">
        <v>1</v>
      </c>
      <c r="D325" s="42">
        <f>+F321</f>
        <v>10.05</v>
      </c>
      <c r="E325" s="30">
        <v>3</v>
      </c>
      <c r="F325" s="42">
        <f>C325*D325/E325</f>
        <v>3.35</v>
      </c>
      <c r="G325" s="30"/>
      <c r="H325" s="30"/>
      <c r="I325" s="48">
        <f>F325</f>
        <v>3.35</v>
      </c>
      <c r="J325" s="15">
        <f>$D$27</f>
        <v>225</v>
      </c>
      <c r="K325" s="44">
        <f t="shared" si="12"/>
        <v>753.75</v>
      </c>
    </row>
    <row r="326" spans="1:11" ht="15.75">
      <c r="A326" s="145"/>
      <c r="B326" s="31" t="s">
        <v>119</v>
      </c>
      <c r="C326" s="30">
        <v>2</v>
      </c>
      <c r="D326" s="42">
        <f>E316</f>
        <v>3</v>
      </c>
      <c r="E326" s="30">
        <f>E320-E321</f>
        <v>-0.6499999999999999</v>
      </c>
      <c r="F326" s="42">
        <f>C326*D326*E326</f>
        <v>-3.8999999999999995</v>
      </c>
      <c r="G326" s="30"/>
      <c r="H326" s="42">
        <f>F326*G326%</f>
        <v>0</v>
      </c>
      <c r="I326" s="43">
        <f>F326+H326</f>
        <v>-3.8999999999999995</v>
      </c>
      <c r="J326" s="44">
        <f>$D$28</f>
        <v>120</v>
      </c>
      <c r="K326" s="44">
        <f t="shared" si="12"/>
        <v>-467.99999999999994</v>
      </c>
    </row>
    <row r="327" spans="1:11" ht="15.75">
      <c r="A327" s="145"/>
      <c r="B327" s="139" t="s">
        <v>121</v>
      </c>
      <c r="C327" s="30">
        <f>2</f>
        <v>2</v>
      </c>
      <c r="D327" s="42">
        <f>E316</f>
        <v>3</v>
      </c>
      <c r="E327" s="30"/>
      <c r="F327" s="42">
        <f>D327*C327</f>
        <v>6</v>
      </c>
      <c r="G327" s="30"/>
      <c r="H327" s="42">
        <f>F327*G327%</f>
        <v>0</v>
      </c>
      <c r="I327" s="43">
        <f>F327+H327</f>
        <v>6</v>
      </c>
      <c r="J327" s="44">
        <f>$D$30</f>
        <v>500</v>
      </c>
      <c r="K327" s="44">
        <f t="shared" si="12"/>
        <v>3000</v>
      </c>
    </row>
    <row r="328" spans="1:11" ht="15.75">
      <c r="A328" s="145"/>
      <c r="B328" s="30" t="s">
        <v>231</v>
      </c>
      <c r="C328" s="30"/>
      <c r="D328" s="30"/>
      <c r="E328" s="30"/>
      <c r="F328" s="42"/>
      <c r="G328" s="30"/>
      <c r="H328" s="30"/>
      <c r="I328" s="48"/>
      <c r="J328" s="44"/>
      <c r="K328" s="44">
        <v>300</v>
      </c>
    </row>
    <row r="329" spans="1:11" ht="15.75">
      <c r="A329" s="145"/>
      <c r="B329" s="61" t="s">
        <v>232</v>
      </c>
      <c r="C329" s="30"/>
      <c r="D329" s="42"/>
      <c r="E329" s="30"/>
      <c r="F329" s="49">
        <f>I316</f>
        <v>8.100000000000001</v>
      </c>
      <c r="G329" s="30"/>
      <c r="H329" s="50">
        <v>600</v>
      </c>
      <c r="I329" s="43"/>
      <c r="J329" s="44"/>
      <c r="K329" s="62">
        <f>H329*F329</f>
        <v>4860.000000000001</v>
      </c>
    </row>
    <row r="330" spans="1:11" ht="16.5">
      <c r="A330" s="145"/>
      <c r="B330" s="25" t="s">
        <v>14</v>
      </c>
      <c r="C330" s="30"/>
      <c r="D330" s="30"/>
      <c r="E330" s="30"/>
      <c r="F330" s="30"/>
      <c r="G330" s="30"/>
      <c r="H330" s="30"/>
      <c r="I330" s="43"/>
      <c r="J330" s="44"/>
      <c r="K330" s="51">
        <f>SUM(K318:K329)</f>
        <v>21569.175</v>
      </c>
    </row>
    <row r="331" spans="1:11" ht="15.75">
      <c r="A331" s="145"/>
      <c r="B331" s="16" t="str">
        <f>$B$7</f>
        <v>Add Towards Overhead and Profit</v>
      </c>
      <c r="C331" s="60"/>
      <c r="D331" s="52"/>
      <c r="E331" s="52"/>
      <c r="F331" s="18">
        <f>$F$7</f>
        <v>15</v>
      </c>
      <c r="G331" s="24"/>
      <c r="H331" s="24"/>
      <c r="I331" s="53"/>
      <c r="J331" s="15"/>
      <c r="K331" s="46">
        <f>+K330*F331%</f>
        <v>3235.37625</v>
      </c>
    </row>
    <row r="332" spans="1:11" ht="15.75">
      <c r="A332" s="145"/>
      <c r="B332" s="16" t="s">
        <v>223</v>
      </c>
      <c r="C332" s="60"/>
      <c r="D332" s="52"/>
      <c r="E332" s="52"/>
      <c r="F332" s="18"/>
      <c r="G332" s="24"/>
      <c r="H332" s="24"/>
      <c r="I332" s="53"/>
      <c r="J332" s="15"/>
      <c r="K332" s="46">
        <f>SUM(K330:K331)</f>
        <v>24804.55125</v>
      </c>
    </row>
    <row r="333" spans="1:11" ht="15.75">
      <c r="A333" s="145"/>
      <c r="B333" s="24" t="s">
        <v>233</v>
      </c>
      <c r="C333" s="60"/>
      <c r="D333" s="52" t="s">
        <v>180</v>
      </c>
      <c r="E333" s="52"/>
      <c r="F333" s="13"/>
      <c r="G333" s="13"/>
      <c r="H333" s="13"/>
      <c r="I333" s="63">
        <f>I316</f>
        <v>8.100000000000001</v>
      </c>
      <c r="J333" s="64"/>
      <c r="K333" s="15">
        <f>K332/I333</f>
        <v>3062.290277777777</v>
      </c>
    </row>
    <row r="334" spans="1:11" ht="16.5">
      <c r="A334" s="145"/>
      <c r="B334" s="25" t="s">
        <v>233</v>
      </c>
      <c r="C334" s="65"/>
      <c r="D334" s="66"/>
      <c r="E334" s="67"/>
      <c r="F334" s="25"/>
      <c r="G334" s="25"/>
      <c r="H334" s="25"/>
      <c r="I334" s="14"/>
      <c r="J334" s="26"/>
      <c r="K334" s="68">
        <f>ROUND(K333,0)</f>
        <v>3062</v>
      </c>
    </row>
    <row r="335" spans="1:11" ht="17.25">
      <c r="A335" s="145"/>
      <c r="B335" s="25"/>
      <c r="C335" s="13"/>
      <c r="D335" s="25"/>
      <c r="E335" s="25"/>
      <c r="F335" s="25"/>
      <c r="G335" s="25"/>
      <c r="H335" s="25"/>
      <c r="I335" s="119" t="s">
        <v>224</v>
      </c>
      <c r="J335" s="112"/>
      <c r="K335" s="55">
        <v>3000</v>
      </c>
    </row>
    <row r="336" spans="1:11" ht="16.5">
      <c r="A336" s="145"/>
      <c r="B336" s="25"/>
      <c r="C336" s="13"/>
      <c r="D336" s="25"/>
      <c r="E336" s="25"/>
      <c r="F336" s="25"/>
      <c r="G336" s="25"/>
      <c r="H336" s="25"/>
      <c r="I336" s="14"/>
      <c r="J336" s="26"/>
      <c r="K336" s="21"/>
    </row>
    <row r="337" spans="1:11" ht="33">
      <c r="A337" s="129">
        <f>A316+1</f>
        <v>7</v>
      </c>
      <c r="B337" s="9" t="s">
        <v>78</v>
      </c>
      <c r="C337" s="47"/>
      <c r="D337" s="47"/>
      <c r="E337" s="47">
        <v>3</v>
      </c>
      <c r="F337" s="56" t="s">
        <v>225</v>
      </c>
      <c r="G337" s="57">
        <v>2.4</v>
      </c>
      <c r="H337" s="57" t="s">
        <v>225</v>
      </c>
      <c r="I337" s="58">
        <f>G337*E337</f>
        <v>7.199999999999999</v>
      </c>
      <c r="J337" s="44"/>
      <c r="K337" s="44"/>
    </row>
    <row r="338" spans="1:11" ht="16.5">
      <c r="A338" s="145"/>
      <c r="B338" s="338" t="s">
        <v>226</v>
      </c>
      <c r="C338" s="338"/>
      <c r="D338" s="338"/>
      <c r="E338" s="47">
        <v>3</v>
      </c>
      <c r="F338" s="47" t="s">
        <v>225</v>
      </c>
      <c r="G338" s="57"/>
      <c r="H338" s="57"/>
      <c r="I338" s="59"/>
      <c r="J338" s="44"/>
      <c r="K338" s="44"/>
    </row>
    <row r="339" spans="1:11" ht="15.75">
      <c r="A339" s="145"/>
      <c r="B339" s="60" t="s">
        <v>227</v>
      </c>
      <c r="C339" s="50">
        <f>E337/0.6</f>
        <v>5</v>
      </c>
      <c r="D339" s="30">
        <v>3</v>
      </c>
      <c r="E339" s="30"/>
      <c r="F339" s="42">
        <f>C339*D339</f>
        <v>15</v>
      </c>
      <c r="G339" s="30">
        <v>5</v>
      </c>
      <c r="H339" s="42">
        <f>F339*G339%</f>
        <v>0.75</v>
      </c>
      <c r="I339" s="43">
        <f>F339+H339</f>
        <v>15.75</v>
      </c>
      <c r="J339" s="44">
        <v>85</v>
      </c>
      <c r="K339" s="44">
        <f aca="true" t="shared" si="13" ref="K339:K345">+J339*I339</f>
        <v>1338.75</v>
      </c>
    </row>
    <row r="340" spans="1:11" ht="15.75">
      <c r="A340" s="145"/>
      <c r="B340" s="60" t="s">
        <v>228</v>
      </c>
      <c r="C340" s="50">
        <f>G337/0.6</f>
        <v>4</v>
      </c>
      <c r="D340" s="60">
        <f>E337</f>
        <v>3</v>
      </c>
      <c r="E340" s="60"/>
      <c r="F340" s="42">
        <f>C340*D340</f>
        <v>12</v>
      </c>
      <c r="G340" s="30">
        <v>5</v>
      </c>
      <c r="H340" s="42">
        <f>F340*G340%</f>
        <v>0.6000000000000001</v>
      </c>
      <c r="I340" s="43">
        <f>F340+H340</f>
        <v>12.6</v>
      </c>
      <c r="J340" s="44">
        <v>85</v>
      </c>
      <c r="K340" s="44">
        <f t="shared" si="13"/>
        <v>1071</v>
      </c>
    </row>
    <row r="341" spans="1:11" ht="15.75">
      <c r="A341" s="145"/>
      <c r="B341" s="139" t="s">
        <v>99</v>
      </c>
      <c r="C341" s="60">
        <v>1</v>
      </c>
      <c r="D341" s="60">
        <f>E337</f>
        <v>3</v>
      </c>
      <c r="E341" s="60">
        <f>G337</f>
        <v>2.4</v>
      </c>
      <c r="F341" s="42">
        <f>C341*D341*E341</f>
        <v>7.199999999999999</v>
      </c>
      <c r="G341" s="30">
        <v>5</v>
      </c>
      <c r="H341" s="42">
        <f>F341*G341%</f>
        <v>0.36</v>
      </c>
      <c r="I341" s="43">
        <f>F341+H341</f>
        <v>7.56</v>
      </c>
      <c r="J341" s="44">
        <f>$D$9</f>
        <v>550</v>
      </c>
      <c r="K341" s="44">
        <f t="shared" si="13"/>
        <v>4158</v>
      </c>
    </row>
    <row r="342" spans="1:11" ht="15.75">
      <c r="A342" s="145"/>
      <c r="B342" s="139" t="s">
        <v>316</v>
      </c>
      <c r="C342" s="60">
        <v>1</v>
      </c>
      <c r="D342" s="60">
        <f>E337</f>
        <v>3</v>
      </c>
      <c r="E342" s="60">
        <f>G337</f>
        <v>2.4</v>
      </c>
      <c r="F342" s="42">
        <f>C342*D342*E342</f>
        <v>7.199999999999999</v>
      </c>
      <c r="G342" s="60">
        <v>10</v>
      </c>
      <c r="H342" s="30">
        <f>F342*G342%</f>
        <v>0.72</v>
      </c>
      <c r="I342" s="43">
        <f>F342+H342</f>
        <v>7.919999999999999</v>
      </c>
      <c r="J342" s="44">
        <f>$D$16</f>
        <v>740</v>
      </c>
      <c r="K342" s="44">
        <f t="shared" si="13"/>
        <v>5860.799999999999</v>
      </c>
    </row>
    <row r="343" spans="1:11" ht="15.75">
      <c r="A343" s="145"/>
      <c r="B343" s="30" t="s">
        <v>117</v>
      </c>
      <c r="C343" s="30">
        <v>1</v>
      </c>
      <c r="D343" s="42">
        <f>+F342</f>
        <v>7.199999999999999</v>
      </c>
      <c r="E343" s="30">
        <v>3</v>
      </c>
      <c r="F343" s="42">
        <f>C343*D343/E343</f>
        <v>2.4</v>
      </c>
      <c r="G343" s="30"/>
      <c r="H343" s="30"/>
      <c r="I343" s="48">
        <f>F343</f>
        <v>2.4</v>
      </c>
      <c r="J343" s="15">
        <f>$D$27</f>
        <v>225</v>
      </c>
      <c r="K343" s="44">
        <f t="shared" si="13"/>
        <v>540</v>
      </c>
    </row>
    <row r="344" spans="1:11" ht="15.75">
      <c r="A344" s="145"/>
      <c r="B344" s="31" t="s">
        <v>119</v>
      </c>
      <c r="C344" s="30">
        <v>2</v>
      </c>
      <c r="D344" s="42">
        <f>E337</f>
        <v>3</v>
      </c>
      <c r="E344" s="30">
        <f>E341-E342</f>
        <v>0</v>
      </c>
      <c r="F344" s="42">
        <f>C344*D344*E344</f>
        <v>0</v>
      </c>
      <c r="G344" s="30"/>
      <c r="H344" s="42">
        <f>F344*G344%</f>
        <v>0</v>
      </c>
      <c r="I344" s="43">
        <f>F344+H344</f>
        <v>0</v>
      </c>
      <c r="J344" s="44">
        <f>$D$28</f>
        <v>120</v>
      </c>
      <c r="K344" s="44">
        <f t="shared" si="13"/>
        <v>0</v>
      </c>
    </row>
    <row r="345" spans="1:11" ht="15.75">
      <c r="A345" s="145"/>
      <c r="B345" s="139" t="s">
        <v>121</v>
      </c>
      <c r="C345" s="30">
        <f>2</f>
        <v>2</v>
      </c>
      <c r="D345" s="42">
        <f>E337</f>
        <v>3</v>
      </c>
      <c r="E345" s="30"/>
      <c r="F345" s="42">
        <f>D345*C345</f>
        <v>6</v>
      </c>
      <c r="G345" s="30"/>
      <c r="H345" s="42">
        <f>F345*G345%</f>
        <v>0</v>
      </c>
      <c r="I345" s="43">
        <f>F345+H345</f>
        <v>6</v>
      </c>
      <c r="J345" s="44">
        <f>$D$30</f>
        <v>500</v>
      </c>
      <c r="K345" s="44">
        <f t="shared" si="13"/>
        <v>3000</v>
      </c>
    </row>
    <row r="346" spans="1:11" ht="15.75">
      <c r="A346" s="145"/>
      <c r="B346" s="30" t="s">
        <v>231</v>
      </c>
      <c r="C346" s="30"/>
      <c r="D346" s="30"/>
      <c r="E346" s="30"/>
      <c r="F346" s="42"/>
      <c r="G346" s="30"/>
      <c r="H346" s="30"/>
      <c r="I346" s="48"/>
      <c r="J346" s="44"/>
      <c r="K346" s="44">
        <v>300</v>
      </c>
    </row>
    <row r="347" spans="1:11" ht="15.75">
      <c r="A347" s="145"/>
      <c r="B347" s="61" t="s">
        <v>232</v>
      </c>
      <c r="C347" s="30"/>
      <c r="D347" s="42"/>
      <c r="E347" s="30"/>
      <c r="F347" s="49">
        <f>I337</f>
        <v>7.199999999999999</v>
      </c>
      <c r="G347" s="30"/>
      <c r="H347" s="50">
        <v>600</v>
      </c>
      <c r="I347" s="43"/>
      <c r="J347" s="44"/>
      <c r="K347" s="62">
        <f>H347*F347</f>
        <v>4320</v>
      </c>
    </row>
    <row r="348" spans="1:11" ht="16.5">
      <c r="A348" s="145"/>
      <c r="B348" s="25" t="s">
        <v>14</v>
      </c>
      <c r="C348" s="30"/>
      <c r="D348" s="30"/>
      <c r="E348" s="30"/>
      <c r="F348" s="30"/>
      <c r="G348" s="30"/>
      <c r="H348" s="30"/>
      <c r="I348" s="43"/>
      <c r="J348" s="44"/>
      <c r="K348" s="51">
        <f>SUM(K339:K347)</f>
        <v>20588.55</v>
      </c>
    </row>
    <row r="349" spans="1:11" ht="15.75">
      <c r="A349" s="145"/>
      <c r="B349" s="16" t="str">
        <f>$B$7</f>
        <v>Add Towards Overhead and Profit</v>
      </c>
      <c r="C349" s="60"/>
      <c r="D349" s="52"/>
      <c r="E349" s="52"/>
      <c r="F349" s="18">
        <f>$F$7</f>
        <v>15</v>
      </c>
      <c r="G349" s="24"/>
      <c r="H349" s="24"/>
      <c r="I349" s="53"/>
      <c r="J349" s="15"/>
      <c r="K349" s="46">
        <f>+K348*F349%</f>
        <v>3088.2825</v>
      </c>
    </row>
    <row r="350" spans="1:11" ht="15.75">
      <c r="A350" s="145"/>
      <c r="B350" s="16" t="s">
        <v>223</v>
      </c>
      <c r="C350" s="60"/>
      <c r="D350" s="52"/>
      <c r="E350" s="52"/>
      <c r="F350" s="18"/>
      <c r="G350" s="24"/>
      <c r="H350" s="24"/>
      <c r="I350" s="53"/>
      <c r="J350" s="15"/>
      <c r="K350" s="46">
        <f>SUM(K348:K349)</f>
        <v>23676.8325</v>
      </c>
    </row>
    <row r="351" spans="1:11" ht="15.75">
      <c r="A351" s="145"/>
      <c r="B351" s="24" t="s">
        <v>233</v>
      </c>
      <c r="C351" s="60"/>
      <c r="D351" s="52" t="s">
        <v>180</v>
      </c>
      <c r="E351" s="52"/>
      <c r="F351" s="13"/>
      <c r="G351" s="13"/>
      <c r="H351" s="13"/>
      <c r="I351" s="63">
        <f>I337</f>
        <v>7.199999999999999</v>
      </c>
      <c r="J351" s="64"/>
      <c r="K351" s="15">
        <f>K350/I351</f>
        <v>3288.448958333334</v>
      </c>
    </row>
    <row r="352" spans="1:11" ht="16.5">
      <c r="A352" s="145"/>
      <c r="B352" s="25" t="s">
        <v>233</v>
      </c>
      <c r="C352" s="65"/>
      <c r="D352" s="66"/>
      <c r="E352" s="67"/>
      <c r="F352" s="25"/>
      <c r="G352" s="25"/>
      <c r="H352" s="25"/>
      <c r="I352" s="14"/>
      <c r="J352" s="26"/>
      <c r="K352" s="68">
        <f>ROUND(K351,0)</f>
        <v>3288</v>
      </c>
    </row>
    <row r="353" spans="1:11" ht="17.25">
      <c r="A353" s="145"/>
      <c r="B353" s="25"/>
      <c r="C353" s="13"/>
      <c r="D353" s="25"/>
      <c r="E353" s="25"/>
      <c r="F353" s="25"/>
      <c r="G353" s="25"/>
      <c r="H353" s="25"/>
      <c r="I353" s="119" t="s">
        <v>224</v>
      </c>
      <c r="J353" s="112"/>
      <c r="K353" s="55">
        <v>3500</v>
      </c>
    </row>
    <row r="354" spans="1:11" ht="16.5">
      <c r="A354" s="145"/>
      <c r="B354" s="25"/>
      <c r="C354" s="13"/>
      <c r="D354" s="25"/>
      <c r="E354" s="25"/>
      <c r="F354" s="25"/>
      <c r="G354" s="25"/>
      <c r="H354" s="25"/>
      <c r="I354" s="14"/>
      <c r="J354" s="26"/>
      <c r="K354" s="21"/>
    </row>
    <row r="355" spans="1:11" ht="16.5">
      <c r="A355" s="129">
        <f>A337+1</f>
        <v>8</v>
      </c>
      <c r="B355" s="89" t="s">
        <v>79</v>
      </c>
      <c r="C355" s="47"/>
      <c r="D355" s="47"/>
      <c r="E355" s="47">
        <v>0.6</v>
      </c>
      <c r="F355" s="56" t="s">
        <v>225</v>
      </c>
      <c r="G355" s="57">
        <v>2.4</v>
      </c>
      <c r="H355" s="57" t="s">
        <v>225</v>
      </c>
      <c r="I355" s="58">
        <f>G355*E355</f>
        <v>1.44</v>
      </c>
      <c r="J355" s="44">
        <f>I355+I356</f>
        <v>2.16</v>
      </c>
      <c r="K355" s="44"/>
    </row>
    <row r="356" spans="1:11" ht="16.5">
      <c r="A356" s="145"/>
      <c r="B356" s="47"/>
      <c r="C356" s="47"/>
      <c r="D356" s="47"/>
      <c r="E356" s="47">
        <v>0.3</v>
      </c>
      <c r="F356" s="47" t="s">
        <v>225</v>
      </c>
      <c r="G356" s="57">
        <v>2.4</v>
      </c>
      <c r="H356" s="57" t="s">
        <v>225</v>
      </c>
      <c r="I356" s="58">
        <f>G356*E356</f>
        <v>0.72</v>
      </c>
      <c r="J356" s="44"/>
      <c r="K356" s="44"/>
    </row>
    <row r="357" spans="1:11" ht="15.75">
      <c r="A357" s="145"/>
      <c r="B357" s="60" t="s">
        <v>227</v>
      </c>
      <c r="C357" s="50">
        <v>4</v>
      </c>
      <c r="D357" s="30">
        <f>G355</f>
        <v>2.4</v>
      </c>
      <c r="E357" s="30"/>
      <c r="F357" s="42">
        <f>C357*D357</f>
        <v>9.6</v>
      </c>
      <c r="G357" s="30">
        <v>5</v>
      </c>
      <c r="H357" s="42">
        <f>F357*G357%</f>
        <v>0.48</v>
      </c>
      <c r="I357" s="43">
        <f>F357+H357</f>
        <v>10.08</v>
      </c>
      <c r="J357" s="44">
        <v>85</v>
      </c>
      <c r="K357" s="44">
        <f aca="true" t="shared" si="14" ref="K357:K363">+J357*I357</f>
        <v>856.8</v>
      </c>
    </row>
    <row r="358" spans="1:11" ht="15.75">
      <c r="A358" s="145"/>
      <c r="B358" s="60" t="s">
        <v>228</v>
      </c>
      <c r="C358" s="50">
        <f>G355/0.6</f>
        <v>4</v>
      </c>
      <c r="D358" s="60">
        <f>2*(E355+E356)</f>
        <v>1.7999999999999998</v>
      </c>
      <c r="E358" s="60"/>
      <c r="F358" s="42">
        <f>C358*D358</f>
        <v>7.199999999999999</v>
      </c>
      <c r="G358" s="30">
        <v>5</v>
      </c>
      <c r="H358" s="42">
        <f>F358*G358%</f>
        <v>0.36</v>
      </c>
      <c r="I358" s="43">
        <f>F358+H358</f>
        <v>7.56</v>
      </c>
      <c r="J358" s="44">
        <v>85</v>
      </c>
      <c r="K358" s="44">
        <f t="shared" si="14"/>
        <v>642.6</v>
      </c>
    </row>
    <row r="359" spans="1:11" ht="15.75">
      <c r="A359" s="145"/>
      <c r="B359" s="139" t="s">
        <v>99</v>
      </c>
      <c r="C359" s="60">
        <v>2</v>
      </c>
      <c r="D359" s="60">
        <f>E355</f>
        <v>0.6</v>
      </c>
      <c r="E359" s="60">
        <f>G355</f>
        <v>2.4</v>
      </c>
      <c r="F359" s="42">
        <f>C359*D359*E359</f>
        <v>2.88</v>
      </c>
      <c r="G359" s="30"/>
      <c r="H359" s="42"/>
      <c r="I359" s="43"/>
      <c r="J359" s="44"/>
      <c r="K359" s="44"/>
    </row>
    <row r="360" spans="1:11" ht="15.75">
      <c r="A360" s="145"/>
      <c r="B360" s="139"/>
      <c r="C360" s="60">
        <v>2</v>
      </c>
      <c r="D360" s="60">
        <f>E356</f>
        <v>0.3</v>
      </c>
      <c r="E360" s="60">
        <f>G356</f>
        <v>2.4</v>
      </c>
      <c r="F360" s="42">
        <f>C360*D360*E360</f>
        <v>1.44</v>
      </c>
      <c r="G360" s="30"/>
      <c r="H360" s="42"/>
      <c r="I360" s="43"/>
      <c r="J360" s="44"/>
      <c r="K360" s="44"/>
    </row>
    <row r="361" spans="1:11" ht="15.75">
      <c r="A361" s="145"/>
      <c r="B361" s="139"/>
      <c r="C361" s="60"/>
      <c r="D361" s="60"/>
      <c r="E361" s="60"/>
      <c r="F361" s="42">
        <f>SUM(F359:F360)</f>
        <v>4.32</v>
      </c>
      <c r="G361" s="30">
        <v>5</v>
      </c>
      <c r="H361" s="42">
        <f>F361*G361%</f>
        <v>0.21600000000000003</v>
      </c>
      <c r="I361" s="43">
        <f>F361+H361</f>
        <v>4.5360000000000005</v>
      </c>
      <c r="J361" s="44">
        <f>$D$9</f>
        <v>550</v>
      </c>
      <c r="K361" s="44">
        <f>+J361*I361</f>
        <v>2494.8</v>
      </c>
    </row>
    <row r="362" spans="1:11" ht="15.75">
      <c r="A362" s="145"/>
      <c r="B362" s="139" t="s">
        <v>104</v>
      </c>
      <c r="C362" s="60">
        <v>2</v>
      </c>
      <c r="D362" s="60">
        <f>E355</f>
        <v>0.6</v>
      </c>
      <c r="E362" s="60">
        <f>G355</f>
        <v>2.4</v>
      </c>
      <c r="F362" s="42">
        <f>C362*D362*E362</f>
        <v>2.88</v>
      </c>
      <c r="G362" s="60">
        <v>10</v>
      </c>
      <c r="H362" s="30">
        <f>F362*G362%</f>
        <v>0.288</v>
      </c>
      <c r="I362" s="43">
        <f>F362+H362</f>
        <v>3.1679999999999997</v>
      </c>
      <c r="J362" s="44">
        <f>$D$15</f>
        <v>550</v>
      </c>
      <c r="K362" s="44">
        <f t="shared" si="14"/>
        <v>1742.3999999999999</v>
      </c>
    </row>
    <row r="363" spans="1:11" ht="15.75">
      <c r="A363" s="145"/>
      <c r="B363" s="30" t="s">
        <v>117</v>
      </c>
      <c r="C363" s="30">
        <v>1</v>
      </c>
      <c r="D363" s="42">
        <f>+F362</f>
        <v>2.88</v>
      </c>
      <c r="E363" s="30">
        <v>3</v>
      </c>
      <c r="F363" s="42">
        <f>C363*D363/E363</f>
        <v>0.96</v>
      </c>
      <c r="G363" s="30"/>
      <c r="H363" s="30"/>
      <c r="I363" s="48">
        <f>F363</f>
        <v>0.96</v>
      </c>
      <c r="J363" s="15">
        <f>$D$27</f>
        <v>225</v>
      </c>
      <c r="K363" s="44">
        <f t="shared" si="14"/>
        <v>216</v>
      </c>
    </row>
    <row r="364" spans="1:11" ht="15.75">
      <c r="A364" s="145"/>
      <c r="B364" s="139" t="s">
        <v>121</v>
      </c>
      <c r="C364" s="30">
        <f>2</f>
        <v>2</v>
      </c>
      <c r="D364" s="42">
        <f>E355</f>
        <v>0.6</v>
      </c>
      <c r="E364" s="30"/>
      <c r="F364" s="42">
        <f>D364*C364</f>
        <v>1.2</v>
      </c>
      <c r="G364" s="30"/>
      <c r="H364" s="42"/>
      <c r="I364" s="43"/>
      <c r="J364" s="44"/>
      <c r="K364" s="44"/>
    </row>
    <row r="365" spans="1:11" ht="15.75">
      <c r="A365" s="145"/>
      <c r="B365" s="139"/>
      <c r="C365" s="30">
        <f>2</f>
        <v>2</v>
      </c>
      <c r="D365" s="42">
        <f>E356</f>
        <v>0.3</v>
      </c>
      <c r="E365" s="30"/>
      <c r="F365" s="42">
        <f>D365*C365</f>
        <v>0.6</v>
      </c>
      <c r="G365" s="30"/>
      <c r="H365" s="42"/>
      <c r="I365" s="43"/>
      <c r="J365" s="44"/>
      <c r="K365" s="44"/>
    </row>
    <row r="366" spans="1:11" ht="15.75">
      <c r="A366" s="145"/>
      <c r="B366" s="139"/>
      <c r="C366" s="30"/>
      <c r="D366" s="42"/>
      <c r="E366" s="30"/>
      <c r="F366" s="42">
        <f>SUM(F364:F365)</f>
        <v>1.7999999999999998</v>
      </c>
      <c r="G366" s="30"/>
      <c r="H366" s="42">
        <f>F366*G366%</f>
        <v>0</v>
      </c>
      <c r="I366" s="43">
        <f>F366+H366</f>
        <v>1.7999999999999998</v>
      </c>
      <c r="J366" s="44">
        <f>$D$30</f>
        <v>500</v>
      </c>
      <c r="K366" s="44">
        <f>+J366*I366</f>
        <v>899.9999999999999</v>
      </c>
    </row>
    <row r="367" spans="1:11" ht="15.75">
      <c r="A367" s="145"/>
      <c r="B367" s="139" t="s">
        <v>114</v>
      </c>
      <c r="C367" s="30">
        <v>2</v>
      </c>
      <c r="D367" s="42">
        <f>E356</f>
        <v>0.3</v>
      </c>
      <c r="E367" s="30">
        <f>G356</f>
        <v>2.4</v>
      </c>
      <c r="F367" s="42">
        <f>C367*D367*E367</f>
        <v>1.44</v>
      </c>
      <c r="G367" s="30"/>
      <c r="H367" s="42">
        <f>F367*G367%</f>
        <v>0</v>
      </c>
      <c r="I367" s="43">
        <f>F367+H367</f>
        <v>1.44</v>
      </c>
      <c r="J367" s="44">
        <f>$D$24</f>
        <v>2750</v>
      </c>
      <c r="K367" s="44">
        <f>+J367*I367</f>
        <v>3960</v>
      </c>
    </row>
    <row r="368" spans="1:11" ht="15.75">
      <c r="A368" s="145"/>
      <c r="B368" s="30" t="s">
        <v>231</v>
      </c>
      <c r="C368" s="30"/>
      <c r="D368" s="30"/>
      <c r="E368" s="30"/>
      <c r="F368" s="42"/>
      <c r="G368" s="30"/>
      <c r="H368" s="30"/>
      <c r="I368" s="48"/>
      <c r="J368" s="44"/>
      <c r="K368" s="44">
        <v>200</v>
      </c>
    </row>
    <row r="369" spans="1:11" ht="15.75">
      <c r="A369" s="145"/>
      <c r="B369" s="61" t="s">
        <v>232</v>
      </c>
      <c r="C369" s="30"/>
      <c r="D369" s="42"/>
      <c r="E369" s="30"/>
      <c r="F369" s="49">
        <f>I355</f>
        <v>1.44</v>
      </c>
      <c r="G369" s="30"/>
      <c r="H369" s="50">
        <v>600</v>
      </c>
      <c r="I369" s="43"/>
      <c r="J369" s="44"/>
      <c r="K369" s="62">
        <f>H369*F369</f>
        <v>864</v>
      </c>
    </row>
    <row r="370" spans="1:11" ht="16.5">
      <c r="A370" s="145"/>
      <c r="B370" s="25" t="s">
        <v>14</v>
      </c>
      <c r="C370" s="30"/>
      <c r="D370" s="30"/>
      <c r="E370" s="30"/>
      <c r="F370" s="30"/>
      <c r="G370" s="30"/>
      <c r="H370" s="30"/>
      <c r="I370" s="43"/>
      <c r="J370" s="44"/>
      <c r="K370" s="51">
        <f>SUM(K357:K369)</f>
        <v>11876.6</v>
      </c>
    </row>
    <row r="371" spans="1:11" ht="15.75">
      <c r="A371" s="145"/>
      <c r="B371" s="16" t="str">
        <f>$B$7</f>
        <v>Add Towards Overhead and Profit</v>
      </c>
      <c r="C371" s="60"/>
      <c r="D371" s="52"/>
      <c r="E371" s="52"/>
      <c r="F371" s="18">
        <f>$F$7</f>
        <v>15</v>
      </c>
      <c r="G371" s="24"/>
      <c r="H371" s="24"/>
      <c r="I371" s="53"/>
      <c r="J371" s="15"/>
      <c r="K371" s="46">
        <f>+K370*F371%</f>
        <v>1781.49</v>
      </c>
    </row>
    <row r="372" spans="1:11" ht="15.75">
      <c r="A372" s="145"/>
      <c r="B372" s="16" t="s">
        <v>223</v>
      </c>
      <c r="C372" s="60"/>
      <c r="D372" s="52"/>
      <c r="E372" s="52"/>
      <c r="F372" s="18"/>
      <c r="G372" s="24"/>
      <c r="H372" s="24"/>
      <c r="I372" s="53"/>
      <c r="J372" s="15"/>
      <c r="K372" s="46">
        <f>SUM(K370:K371)</f>
        <v>13658.09</v>
      </c>
    </row>
    <row r="373" spans="1:11" ht="15.75">
      <c r="A373" s="145"/>
      <c r="B373" s="24" t="s">
        <v>233</v>
      </c>
      <c r="C373" s="60"/>
      <c r="D373" s="52" t="s">
        <v>180</v>
      </c>
      <c r="E373" s="52"/>
      <c r="F373" s="13"/>
      <c r="G373" s="13"/>
      <c r="H373" s="13"/>
      <c r="I373" s="63">
        <f>I355</f>
        <v>1.44</v>
      </c>
      <c r="J373" s="64"/>
      <c r="K373" s="15">
        <f>K372/I373</f>
        <v>9484.784722222223</v>
      </c>
    </row>
    <row r="374" spans="1:11" ht="16.5">
      <c r="A374" s="145"/>
      <c r="B374" s="25" t="s">
        <v>233</v>
      </c>
      <c r="C374" s="65"/>
      <c r="D374" s="66"/>
      <c r="E374" s="67"/>
      <c r="F374" s="25"/>
      <c r="G374" s="25"/>
      <c r="H374" s="25"/>
      <c r="I374" s="14"/>
      <c r="J374" s="26"/>
      <c r="K374" s="68">
        <f>ROUND(K373,0)</f>
        <v>9485</v>
      </c>
    </row>
    <row r="375" spans="1:11" ht="16.5">
      <c r="A375" s="145"/>
      <c r="B375" s="25"/>
      <c r="C375" s="13"/>
      <c r="D375" s="25"/>
      <c r="E375" s="25"/>
      <c r="F375" s="25"/>
      <c r="G375" s="25"/>
      <c r="H375" s="25"/>
      <c r="I375" s="54" t="s">
        <v>224</v>
      </c>
      <c r="J375" s="26"/>
      <c r="K375" s="69">
        <v>9500</v>
      </c>
    </row>
    <row r="376" spans="1:11" ht="16.5">
      <c r="A376" s="145"/>
      <c r="B376" s="25"/>
      <c r="C376" s="13"/>
      <c r="D376" s="25"/>
      <c r="E376" s="25"/>
      <c r="F376" s="25"/>
      <c r="G376" s="25"/>
      <c r="H376" s="25"/>
      <c r="I376" s="14"/>
      <c r="J376" s="26"/>
      <c r="K376" s="21"/>
    </row>
    <row r="377" spans="1:11" ht="16.5">
      <c r="A377" s="129">
        <f>A355+1</f>
        <v>9</v>
      </c>
      <c r="B377" s="89" t="s">
        <v>84</v>
      </c>
      <c r="C377" s="24"/>
      <c r="D377" s="24"/>
      <c r="E377" s="24"/>
      <c r="F377" s="24"/>
      <c r="G377" s="24"/>
      <c r="H377" s="24"/>
      <c r="I377" s="45"/>
      <c r="J377" s="46"/>
      <c r="K377" s="22"/>
    </row>
    <row r="378" spans="1:11" ht="19.5" customHeight="1">
      <c r="A378" s="129"/>
      <c r="B378" s="139" t="s">
        <v>115</v>
      </c>
      <c r="C378" s="24">
        <v>1</v>
      </c>
      <c r="D378" s="24">
        <v>0.6</v>
      </c>
      <c r="E378" s="24">
        <v>1.2</v>
      </c>
      <c r="F378" s="24">
        <f>E378*D378*C378</f>
        <v>0.72</v>
      </c>
      <c r="G378" s="24"/>
      <c r="H378" s="42">
        <f>F378*G378%</f>
        <v>0</v>
      </c>
      <c r="I378" s="49">
        <f>F378+H378</f>
        <v>0.72</v>
      </c>
      <c r="J378" s="44">
        <f>$D$25</f>
        <v>3650</v>
      </c>
      <c r="K378" s="44">
        <f>+J378*I378</f>
        <v>2628</v>
      </c>
    </row>
    <row r="379" spans="1:11" ht="19.5" customHeight="1">
      <c r="A379" s="129"/>
      <c r="B379" s="32" t="s">
        <v>133</v>
      </c>
      <c r="C379" s="24">
        <v>4</v>
      </c>
      <c r="D379" s="24"/>
      <c r="E379" s="24"/>
      <c r="F379" s="28">
        <f>C379</f>
        <v>4</v>
      </c>
      <c r="G379" s="24"/>
      <c r="H379" s="42">
        <f>F379*G379%</f>
        <v>0</v>
      </c>
      <c r="I379" s="49">
        <f>F379+H379</f>
        <v>4</v>
      </c>
      <c r="J379" s="46">
        <f>$D$41</f>
        <v>100</v>
      </c>
      <c r="K379" s="44">
        <f>+J379*I379</f>
        <v>400</v>
      </c>
    </row>
    <row r="380" spans="1:11" ht="15.75">
      <c r="A380" s="145"/>
      <c r="B380" s="30" t="s">
        <v>222</v>
      </c>
      <c r="C380" s="30"/>
      <c r="D380" s="42"/>
      <c r="E380" s="30"/>
      <c r="F380" s="49"/>
      <c r="G380" s="30"/>
      <c r="H380" s="50"/>
      <c r="I380" s="49"/>
      <c r="J380" s="44"/>
      <c r="K380" s="44">
        <v>500</v>
      </c>
    </row>
    <row r="381" spans="1:11" ht="16.5">
      <c r="A381" s="145"/>
      <c r="B381" s="25" t="s">
        <v>14</v>
      </c>
      <c r="C381" s="30"/>
      <c r="D381" s="30"/>
      <c r="E381" s="30"/>
      <c r="F381" s="30"/>
      <c r="G381" s="30"/>
      <c r="H381" s="30"/>
      <c r="I381" s="43"/>
      <c r="J381" s="44"/>
      <c r="K381" s="51">
        <f>SUM(K378:K380)</f>
        <v>3528</v>
      </c>
    </row>
    <row r="382" spans="1:11" ht="15.75">
      <c r="A382" s="145"/>
      <c r="B382" s="16" t="str">
        <f>$B$7</f>
        <v>Add Towards Overhead and Profit</v>
      </c>
      <c r="C382" s="60"/>
      <c r="D382" s="52"/>
      <c r="E382" s="52"/>
      <c r="F382" s="18">
        <f>$F$7</f>
        <v>15</v>
      </c>
      <c r="G382" s="24"/>
      <c r="H382" s="24"/>
      <c r="I382" s="53"/>
      <c r="J382" s="15"/>
      <c r="K382" s="46">
        <f>+K381*F382%</f>
        <v>529.1999999999999</v>
      </c>
    </row>
    <row r="383" spans="1:11" ht="15.75">
      <c r="A383" s="145"/>
      <c r="B383" s="16" t="s">
        <v>223</v>
      </c>
      <c r="C383" s="60"/>
      <c r="D383" s="52"/>
      <c r="E383" s="52"/>
      <c r="F383" s="18"/>
      <c r="G383" s="24"/>
      <c r="H383" s="24"/>
      <c r="I383" s="53"/>
      <c r="J383" s="15"/>
      <c r="K383" s="46">
        <f>SUM(K381:K382)</f>
        <v>4057.2</v>
      </c>
    </row>
    <row r="384" spans="1:11" ht="17.25">
      <c r="A384" s="145"/>
      <c r="B384" s="25"/>
      <c r="C384" s="13"/>
      <c r="D384" s="25"/>
      <c r="E384" s="25"/>
      <c r="F384" s="25"/>
      <c r="G384" s="25"/>
      <c r="H384" s="25"/>
      <c r="I384" s="119" t="s">
        <v>224</v>
      </c>
      <c r="J384" s="112"/>
      <c r="K384" s="55">
        <v>4000</v>
      </c>
    </row>
    <row r="385" spans="1:11" s="141" customFormat="1" ht="33">
      <c r="A385" s="146">
        <f>A377+1</f>
        <v>10</v>
      </c>
      <c r="B385" s="120" t="s">
        <v>322</v>
      </c>
      <c r="C385" s="120"/>
      <c r="D385" s="342"/>
      <c r="E385" s="342"/>
      <c r="F385" s="342"/>
      <c r="G385" s="120"/>
      <c r="H385" s="120"/>
      <c r="I385" s="114"/>
      <c r="J385" s="121"/>
      <c r="K385" s="122"/>
    </row>
    <row r="386" spans="1:11" s="141" customFormat="1" ht="16.5">
      <c r="A386" s="131"/>
      <c r="B386" s="116" t="s">
        <v>317</v>
      </c>
      <c r="C386" s="116"/>
      <c r="D386" s="116"/>
      <c r="E386" s="120">
        <v>1.2</v>
      </c>
      <c r="F386" s="120" t="s">
        <v>225</v>
      </c>
      <c r="G386" s="120">
        <v>0.6</v>
      </c>
      <c r="H386" s="120" t="s">
        <v>225</v>
      </c>
      <c r="I386" s="123">
        <v>0.75</v>
      </c>
      <c r="J386" s="2" t="s">
        <v>225</v>
      </c>
      <c r="K386" s="116">
        <f>E386*G386</f>
        <v>0.72</v>
      </c>
    </row>
    <row r="387" spans="1:11" s="141" customFormat="1" ht="16.5">
      <c r="A387" s="147"/>
      <c r="B387" s="120" t="s">
        <v>318</v>
      </c>
      <c r="C387" s="113">
        <v>1</v>
      </c>
      <c r="D387" s="113">
        <f>E386</f>
        <v>1.2</v>
      </c>
      <c r="E387" s="113">
        <f>G386</f>
        <v>0.6</v>
      </c>
      <c r="F387" s="113">
        <f>C387*D387*E387</f>
        <v>0.72</v>
      </c>
      <c r="G387" s="113"/>
      <c r="H387" s="113"/>
      <c r="I387" s="114"/>
      <c r="J387" s="115"/>
      <c r="K387" s="116"/>
    </row>
    <row r="388" spans="1:11" s="141" customFormat="1" ht="15.75">
      <c r="A388" s="147"/>
      <c r="B388" s="113"/>
      <c r="C388" s="113">
        <v>1</v>
      </c>
      <c r="D388" s="113">
        <f>E386</f>
        <v>1.2</v>
      </c>
      <c r="E388" s="113">
        <v>0.075</v>
      </c>
      <c r="F388" s="113">
        <f>C388*D388*E388</f>
        <v>0.09</v>
      </c>
      <c r="G388" s="113"/>
      <c r="H388" s="113"/>
      <c r="I388" s="114"/>
      <c r="J388" s="115"/>
      <c r="K388" s="116"/>
    </row>
    <row r="389" spans="1:11" s="141" customFormat="1" ht="15.75">
      <c r="A389" s="147"/>
      <c r="B389" s="113"/>
      <c r="C389" s="113"/>
      <c r="D389" s="113"/>
      <c r="E389" s="113"/>
      <c r="F389" s="113">
        <f>SUM(F387:F388)</f>
        <v>0.8099999999999999</v>
      </c>
      <c r="G389" s="116">
        <v>5</v>
      </c>
      <c r="H389" s="149">
        <f>F389*G389%</f>
        <v>0.0405</v>
      </c>
      <c r="I389" s="118">
        <f>F389+H389</f>
        <v>0.8504999999999999</v>
      </c>
      <c r="J389" s="115">
        <f>$D$11</f>
        <v>1325</v>
      </c>
      <c r="K389" s="115">
        <f>+J389*I389</f>
        <v>1126.9125</v>
      </c>
    </row>
    <row r="390" spans="1:11" s="141" customFormat="1" ht="16.5">
      <c r="A390" s="147"/>
      <c r="B390" s="140" t="s">
        <v>97</v>
      </c>
      <c r="C390" s="113"/>
      <c r="D390" s="113"/>
      <c r="E390" s="113"/>
      <c r="F390" s="113"/>
      <c r="G390" s="113"/>
      <c r="H390" s="149"/>
      <c r="I390" s="124"/>
      <c r="J390" s="115"/>
      <c r="K390" s="115"/>
    </row>
    <row r="391" spans="1:11" s="141" customFormat="1" ht="15.75">
      <c r="A391" s="147"/>
      <c r="B391" s="113" t="s">
        <v>306</v>
      </c>
      <c r="C391" s="113">
        <v>3</v>
      </c>
      <c r="D391" s="113">
        <v>0.45</v>
      </c>
      <c r="E391" s="117">
        <f>I386</f>
        <v>0.75</v>
      </c>
      <c r="F391" s="113">
        <f>C391*D391*E391</f>
        <v>1.0125000000000002</v>
      </c>
      <c r="G391" s="116">
        <v>5</v>
      </c>
      <c r="H391" s="149">
        <f>F391*G391%</f>
        <v>0.05062500000000001</v>
      </c>
      <c r="I391" s="118">
        <f>F391+H391</f>
        <v>1.063125</v>
      </c>
      <c r="J391" s="115">
        <f>$D$8</f>
        <v>800</v>
      </c>
      <c r="K391" s="115">
        <f>+J391*I391</f>
        <v>850.5000000000001</v>
      </c>
    </row>
    <row r="392" spans="1:11" s="141" customFormat="1" ht="16.5">
      <c r="A392" s="147"/>
      <c r="B392" s="140" t="s">
        <v>99</v>
      </c>
      <c r="C392" s="113"/>
      <c r="D392" s="113"/>
      <c r="E392" s="117"/>
      <c r="F392" s="113"/>
      <c r="G392" s="116"/>
      <c r="H392" s="113"/>
      <c r="I392" s="118"/>
      <c r="J392" s="115"/>
      <c r="K392" s="115"/>
    </row>
    <row r="393" spans="1:11" ht="16.5">
      <c r="A393" s="129"/>
      <c r="B393" s="40" t="s">
        <v>188</v>
      </c>
      <c r="C393" s="24"/>
      <c r="D393" s="24"/>
      <c r="E393" s="24"/>
      <c r="F393" s="28"/>
      <c r="G393" s="30"/>
      <c r="H393" s="42"/>
      <c r="I393" s="43"/>
      <c r="J393" s="44"/>
      <c r="K393" s="44"/>
    </row>
    <row r="394" spans="1:11" ht="16.5">
      <c r="A394" s="129"/>
      <c r="B394" s="31" t="s">
        <v>191</v>
      </c>
      <c r="C394" s="24">
        <v>2</v>
      </c>
      <c r="D394" s="24">
        <v>0.45</v>
      </c>
      <c r="E394" s="24">
        <v>0.6</v>
      </c>
      <c r="F394" s="28">
        <f>E394*D394*C394</f>
        <v>0.54</v>
      </c>
      <c r="G394" s="24"/>
      <c r="H394" s="24"/>
      <c r="I394" s="45"/>
      <c r="J394" s="46"/>
      <c r="K394" s="22"/>
    </row>
    <row r="395" spans="1:11" ht="16.5">
      <c r="A395" s="129"/>
      <c r="B395" s="31" t="s">
        <v>192</v>
      </c>
      <c r="C395" s="24">
        <v>2</v>
      </c>
      <c r="D395" s="24">
        <v>0.45</v>
      </c>
      <c r="E395" s="24">
        <v>0.6</v>
      </c>
      <c r="F395" s="28">
        <f>E395*D395*C395</f>
        <v>0.54</v>
      </c>
      <c r="G395" s="24"/>
      <c r="H395" s="24"/>
      <c r="I395" s="45"/>
      <c r="J395" s="46"/>
      <c r="K395" s="22"/>
    </row>
    <row r="396" spans="1:11" ht="16.5">
      <c r="A396" s="129"/>
      <c r="B396" s="31" t="s">
        <v>193</v>
      </c>
      <c r="C396" s="24">
        <v>3</v>
      </c>
      <c r="D396" s="24">
        <v>0.45</v>
      </c>
      <c r="E396" s="24">
        <v>0.4</v>
      </c>
      <c r="F396" s="28">
        <f>E396*D396*C396</f>
        <v>0.54</v>
      </c>
      <c r="G396" s="24"/>
      <c r="H396" s="24"/>
      <c r="I396" s="45"/>
      <c r="J396" s="46"/>
      <c r="K396" s="22"/>
    </row>
    <row r="397" spans="1:11" ht="16.5">
      <c r="A397" s="129"/>
      <c r="B397" s="31"/>
      <c r="C397" s="24"/>
      <c r="D397" s="24"/>
      <c r="E397" s="24"/>
      <c r="F397" s="28">
        <f>SUM(F394:F396)</f>
        <v>1.62</v>
      </c>
      <c r="G397" s="30">
        <v>5</v>
      </c>
      <c r="H397" s="42">
        <f>F397*G397%</f>
        <v>0.08100000000000002</v>
      </c>
      <c r="I397" s="43">
        <f>F397+H397</f>
        <v>1.701</v>
      </c>
      <c r="J397" s="44">
        <f>$D$9</f>
        <v>550</v>
      </c>
      <c r="K397" s="44">
        <f>+J397*I397</f>
        <v>935.5500000000001</v>
      </c>
    </row>
    <row r="398" spans="1:11" ht="16.5">
      <c r="A398" s="145"/>
      <c r="B398" s="140" t="s">
        <v>110</v>
      </c>
      <c r="C398" s="30"/>
      <c r="D398" s="42"/>
      <c r="E398" s="30"/>
      <c r="F398" s="42"/>
      <c r="G398" s="60"/>
      <c r="H398" s="42"/>
      <c r="I398" s="43"/>
      <c r="J398" s="44"/>
      <c r="K398" s="44"/>
    </row>
    <row r="399" spans="1:11" ht="15.75">
      <c r="A399" s="145"/>
      <c r="B399" s="70" t="s">
        <v>258</v>
      </c>
      <c r="C399" s="30">
        <v>1</v>
      </c>
      <c r="D399" s="42">
        <f>E386</f>
        <v>1.2</v>
      </c>
      <c r="E399" s="30">
        <f>G386</f>
        <v>0.6</v>
      </c>
      <c r="F399" s="42">
        <f>C399*D399*E399</f>
        <v>0.72</v>
      </c>
      <c r="G399" s="60"/>
      <c r="H399" s="42"/>
      <c r="I399" s="43"/>
      <c r="J399" s="44"/>
      <c r="K399" s="44"/>
    </row>
    <row r="400" spans="1:11" ht="15.75">
      <c r="A400" s="145"/>
      <c r="B400" s="24" t="s">
        <v>260</v>
      </c>
      <c r="C400" s="30">
        <v>1</v>
      </c>
      <c r="D400" s="42">
        <f>D399</f>
        <v>1.2</v>
      </c>
      <c r="E400" s="30">
        <v>0.05</v>
      </c>
      <c r="F400" s="42">
        <f>C400*D400*E400</f>
        <v>0.06</v>
      </c>
      <c r="G400" s="60"/>
      <c r="H400" s="42"/>
      <c r="I400" s="43"/>
      <c r="J400" s="44"/>
      <c r="K400" s="44"/>
    </row>
    <row r="401" spans="1:11" ht="15.75">
      <c r="A401" s="145"/>
      <c r="B401" s="30"/>
      <c r="C401" s="30"/>
      <c r="D401" s="42"/>
      <c r="E401" s="30"/>
      <c r="F401" s="42">
        <f>SUM(F399:F400)</f>
        <v>0.78</v>
      </c>
      <c r="G401" s="60"/>
      <c r="H401" s="30">
        <f>F401*G401%</f>
        <v>0</v>
      </c>
      <c r="I401" s="49">
        <f>F401+H401</f>
        <v>0.78</v>
      </c>
      <c r="J401" s="44">
        <f>$D$20</f>
        <v>6300</v>
      </c>
      <c r="K401" s="44">
        <f>+J401*I401</f>
        <v>4914</v>
      </c>
    </row>
    <row r="402" spans="1:11" s="141" customFormat="1" ht="16.5">
      <c r="A402" s="147"/>
      <c r="B402" s="140" t="s">
        <v>104</v>
      </c>
      <c r="C402" s="113"/>
      <c r="D402" s="113"/>
      <c r="E402" s="113"/>
      <c r="F402" s="113"/>
      <c r="G402" s="113"/>
      <c r="H402" s="113"/>
      <c r="I402" s="114"/>
      <c r="J402" s="115"/>
      <c r="K402" s="116"/>
    </row>
    <row r="403" spans="1:11" s="141" customFormat="1" ht="15.75">
      <c r="A403" s="147"/>
      <c r="B403" s="113" t="s">
        <v>306</v>
      </c>
      <c r="C403" s="113">
        <v>2</v>
      </c>
      <c r="D403" s="113">
        <f>G386</f>
        <v>0.6</v>
      </c>
      <c r="E403" s="117">
        <f>I386</f>
        <v>0.75</v>
      </c>
      <c r="F403" s="113">
        <f>C403*D403*E403</f>
        <v>0.8999999999999999</v>
      </c>
      <c r="G403" s="116"/>
      <c r="H403" s="113"/>
      <c r="I403" s="118"/>
      <c r="J403" s="44"/>
      <c r="K403" s="115"/>
    </row>
    <row r="404" spans="1:11" s="141" customFormat="1" ht="15.75">
      <c r="A404" s="147"/>
      <c r="B404" s="113" t="s">
        <v>210</v>
      </c>
      <c r="C404" s="113">
        <v>1</v>
      </c>
      <c r="D404" s="113">
        <v>0.45</v>
      </c>
      <c r="E404" s="117">
        <v>0.75</v>
      </c>
      <c r="F404" s="113">
        <f>C404*D404*E404</f>
        <v>0.3375</v>
      </c>
      <c r="G404" s="116"/>
      <c r="H404" s="113"/>
      <c r="I404" s="118"/>
      <c r="J404" s="44"/>
      <c r="K404" s="115"/>
    </row>
    <row r="405" spans="1:11" s="141" customFormat="1" ht="15.75">
      <c r="A405" s="147"/>
      <c r="B405" s="113"/>
      <c r="C405" s="113"/>
      <c r="D405" s="113"/>
      <c r="E405" s="113"/>
      <c r="F405" s="113">
        <f>SUM(F403:F404)</f>
        <v>1.2374999999999998</v>
      </c>
      <c r="G405" s="116">
        <v>5</v>
      </c>
      <c r="H405" s="149">
        <f>F405*G405%</f>
        <v>0.06187499999999999</v>
      </c>
      <c r="I405" s="118">
        <f>F405+H405</f>
        <v>1.2993749999999997</v>
      </c>
      <c r="J405" s="44">
        <f>$D$15</f>
        <v>550</v>
      </c>
      <c r="K405" s="115">
        <f>+J405*I405</f>
        <v>714.6562499999999</v>
      </c>
    </row>
    <row r="406" spans="1:11" ht="16.5">
      <c r="A406" s="145"/>
      <c r="B406" s="102" t="s">
        <v>271</v>
      </c>
      <c r="C406" s="70">
        <v>1</v>
      </c>
      <c r="D406" s="110">
        <f>F405</f>
        <v>1.2374999999999998</v>
      </c>
      <c r="E406" s="70">
        <v>3</v>
      </c>
      <c r="F406" s="70">
        <f>C406*D406/E406</f>
        <v>0.4124999999999999</v>
      </c>
      <c r="G406" s="70"/>
      <c r="H406" s="70"/>
      <c r="I406" s="105">
        <f>F406</f>
        <v>0.4124999999999999</v>
      </c>
      <c r="J406" s="91">
        <f>$D$27</f>
        <v>225</v>
      </c>
      <c r="K406" s="91">
        <f>+J406*I406</f>
        <v>92.81249999999999</v>
      </c>
    </row>
    <row r="407" spans="1:11" ht="16.5">
      <c r="A407" s="130"/>
      <c r="B407" s="25" t="s">
        <v>269</v>
      </c>
      <c r="C407" s="24"/>
      <c r="D407" s="45"/>
      <c r="E407" s="24"/>
      <c r="F407" s="45"/>
      <c r="G407" s="13"/>
      <c r="H407" s="24"/>
      <c r="I407" s="53"/>
      <c r="J407" s="91"/>
      <c r="K407" s="15"/>
    </row>
    <row r="408" spans="1:11" ht="15.75">
      <c r="A408" s="130"/>
      <c r="B408" s="24" t="s">
        <v>294</v>
      </c>
      <c r="C408" s="24">
        <v>2</v>
      </c>
      <c r="D408" s="28">
        <v>0.65</v>
      </c>
      <c r="E408" s="24"/>
      <c r="F408" s="45">
        <f>D408*C408</f>
        <v>1.3</v>
      </c>
      <c r="G408" s="13"/>
      <c r="H408" s="24"/>
      <c r="I408" s="53">
        <f>F408+H408</f>
        <v>1.3</v>
      </c>
      <c r="J408" s="91">
        <f>$I$117</f>
        <v>12</v>
      </c>
      <c r="K408" s="15">
        <f>+J408*I408</f>
        <v>15.600000000000001</v>
      </c>
    </row>
    <row r="409" spans="1:11" ht="16.5">
      <c r="A409" s="130"/>
      <c r="B409" s="25" t="s">
        <v>270</v>
      </c>
      <c r="C409" s="24"/>
      <c r="D409" s="45"/>
      <c r="E409" s="24"/>
      <c r="F409" s="45"/>
      <c r="G409" s="13"/>
      <c r="H409" s="24"/>
      <c r="I409" s="53"/>
      <c r="J409" s="91"/>
      <c r="K409" s="15"/>
    </row>
    <row r="410" spans="1:11" ht="15.75">
      <c r="A410" s="130"/>
      <c r="B410" s="24" t="s">
        <v>291</v>
      </c>
      <c r="C410" s="24">
        <f>3*4</f>
        <v>12</v>
      </c>
      <c r="D410" s="28">
        <v>0.45</v>
      </c>
      <c r="E410" s="24"/>
      <c r="F410" s="45">
        <f>D410*C410</f>
        <v>5.4</v>
      </c>
      <c r="G410" s="13"/>
      <c r="H410" s="24"/>
      <c r="I410" s="53">
        <f>F410+H410</f>
        <v>5.4</v>
      </c>
      <c r="J410" s="91">
        <f>$I$125</f>
        <v>9</v>
      </c>
      <c r="K410" s="15">
        <f>+J410*I410</f>
        <v>48.6</v>
      </c>
    </row>
    <row r="411" spans="1:11" s="141" customFormat="1" ht="15.75">
      <c r="A411" s="131"/>
      <c r="B411" s="116"/>
      <c r="C411" s="116">
        <v>0.001</v>
      </c>
      <c r="D411" s="114">
        <f>I405</f>
        <v>1.2993749999999997</v>
      </c>
      <c r="E411" s="116"/>
      <c r="F411" s="113"/>
      <c r="G411" s="116"/>
      <c r="H411" s="113"/>
      <c r="I411" s="125">
        <f>D411*C411</f>
        <v>0.0012993749999999997</v>
      </c>
      <c r="J411" s="126">
        <f>H14</f>
        <v>0</v>
      </c>
      <c r="K411" s="127">
        <f>+J411*I411</f>
        <v>0</v>
      </c>
    </row>
    <row r="412" spans="1:11" ht="16.5">
      <c r="A412" s="129"/>
      <c r="B412" s="40" t="s">
        <v>214</v>
      </c>
      <c r="C412" s="24"/>
      <c r="D412" s="24"/>
      <c r="E412" s="24"/>
      <c r="F412" s="24"/>
      <c r="G412" s="24"/>
      <c r="H412" s="24"/>
      <c r="I412" s="45"/>
      <c r="J412" s="46"/>
      <c r="K412" s="22"/>
    </row>
    <row r="413" spans="1:11" ht="16.5">
      <c r="A413" s="129"/>
      <c r="B413" s="31" t="s">
        <v>215</v>
      </c>
      <c r="C413" s="24">
        <v>1</v>
      </c>
      <c r="D413" s="24"/>
      <c r="E413" s="24"/>
      <c r="F413" s="28">
        <f aca="true" t="shared" si="15" ref="F413:F418">C413</f>
        <v>1</v>
      </c>
      <c r="G413" s="24"/>
      <c r="H413" s="42">
        <f aca="true" t="shared" si="16" ref="H413:H418">F413*G413%</f>
        <v>0</v>
      </c>
      <c r="I413" s="49">
        <f aca="true" t="shared" si="17" ref="I413:I418">F413+H413</f>
        <v>1</v>
      </c>
      <c r="J413" s="46">
        <f>$D$36</f>
        <v>250</v>
      </c>
      <c r="K413" s="44">
        <f aca="true" t="shared" si="18" ref="K413:K418">+J413*I413</f>
        <v>250</v>
      </c>
    </row>
    <row r="414" spans="1:11" ht="16.5">
      <c r="A414" s="129"/>
      <c r="B414" s="31" t="s">
        <v>216</v>
      </c>
      <c r="C414" s="24">
        <v>1</v>
      </c>
      <c r="D414" s="24"/>
      <c r="E414" s="24"/>
      <c r="F414" s="28">
        <f t="shared" si="15"/>
        <v>1</v>
      </c>
      <c r="G414" s="24"/>
      <c r="H414" s="42">
        <f t="shared" si="16"/>
        <v>0</v>
      </c>
      <c r="I414" s="49">
        <f t="shared" si="17"/>
        <v>1</v>
      </c>
      <c r="J414" s="46">
        <f>$D$32</f>
        <v>1000</v>
      </c>
      <c r="K414" s="44">
        <f t="shared" si="18"/>
        <v>1000</v>
      </c>
    </row>
    <row r="415" spans="1:11" ht="16.5">
      <c r="A415" s="129"/>
      <c r="B415" s="31" t="s">
        <v>217</v>
      </c>
      <c r="C415" s="24">
        <v>1</v>
      </c>
      <c r="D415" s="24"/>
      <c r="E415" s="24"/>
      <c r="F415" s="28">
        <f t="shared" si="15"/>
        <v>1</v>
      </c>
      <c r="G415" s="24"/>
      <c r="H415" s="42">
        <f t="shared" si="16"/>
        <v>0</v>
      </c>
      <c r="I415" s="49">
        <f t="shared" si="17"/>
        <v>1</v>
      </c>
      <c r="J415" s="46">
        <f>$D$34</f>
        <v>1100</v>
      </c>
      <c r="K415" s="44">
        <f t="shared" si="18"/>
        <v>1100</v>
      </c>
    </row>
    <row r="416" spans="1:11" ht="16.5">
      <c r="A416" s="129"/>
      <c r="B416" s="31" t="s">
        <v>218</v>
      </c>
      <c r="C416" s="24">
        <v>3</v>
      </c>
      <c r="D416" s="24"/>
      <c r="E416" s="24"/>
      <c r="F416" s="28">
        <f t="shared" si="15"/>
        <v>3</v>
      </c>
      <c r="G416" s="24"/>
      <c r="H416" s="42">
        <f t="shared" si="16"/>
        <v>0</v>
      </c>
      <c r="I416" s="49">
        <f t="shared" si="17"/>
        <v>3</v>
      </c>
      <c r="J416" s="46">
        <f>$D$37</f>
        <v>125</v>
      </c>
      <c r="K416" s="44">
        <f t="shared" si="18"/>
        <v>375</v>
      </c>
    </row>
    <row r="417" spans="1:11" ht="19.5" customHeight="1">
      <c r="A417" s="129"/>
      <c r="B417" s="31" t="s">
        <v>221</v>
      </c>
      <c r="C417" s="24">
        <v>3</v>
      </c>
      <c r="D417" s="24"/>
      <c r="E417" s="24"/>
      <c r="F417" s="28">
        <f t="shared" si="15"/>
        <v>3</v>
      </c>
      <c r="G417" s="24"/>
      <c r="H417" s="42">
        <f t="shared" si="16"/>
        <v>0</v>
      </c>
      <c r="I417" s="49">
        <f t="shared" si="17"/>
        <v>3</v>
      </c>
      <c r="J417" s="46">
        <f>$D$39</f>
        <v>200</v>
      </c>
      <c r="K417" s="44">
        <f t="shared" si="18"/>
        <v>600</v>
      </c>
    </row>
    <row r="418" spans="1:11" ht="15.75">
      <c r="A418" s="130"/>
      <c r="B418" s="24" t="s">
        <v>273</v>
      </c>
      <c r="C418" s="24">
        <v>3</v>
      </c>
      <c r="D418" s="24"/>
      <c r="E418" s="24"/>
      <c r="F418" s="28">
        <f t="shared" si="15"/>
        <v>3</v>
      </c>
      <c r="G418" s="24"/>
      <c r="H418" s="42">
        <f t="shared" si="16"/>
        <v>0</v>
      </c>
      <c r="I418" s="49">
        <f t="shared" si="17"/>
        <v>3</v>
      </c>
      <c r="J418" s="46">
        <f>$D$36</f>
        <v>250</v>
      </c>
      <c r="K418" s="44">
        <f t="shared" si="18"/>
        <v>750</v>
      </c>
    </row>
    <row r="419" spans="1:11" ht="15.75">
      <c r="A419" s="130"/>
      <c r="B419" s="24" t="s">
        <v>274</v>
      </c>
      <c r="C419" s="24">
        <v>1</v>
      </c>
      <c r="D419" s="24"/>
      <c r="E419" s="24"/>
      <c r="F419" s="24"/>
      <c r="G419" s="24"/>
      <c r="H419" s="24"/>
      <c r="I419" s="14"/>
      <c r="J419" s="15"/>
      <c r="K419" s="15">
        <v>200</v>
      </c>
    </row>
    <row r="420" spans="1:11" s="142" customFormat="1" ht="15.75">
      <c r="A420" s="147"/>
      <c r="B420" s="113" t="s">
        <v>313</v>
      </c>
      <c r="C420" s="113">
        <v>1</v>
      </c>
      <c r="D420" s="113">
        <f>E386</f>
        <v>1.2</v>
      </c>
      <c r="E420" s="113">
        <f>G386</f>
        <v>0.6</v>
      </c>
      <c r="F420" s="113">
        <f>C420*D420*E420</f>
        <v>0.72</v>
      </c>
      <c r="G420" s="113"/>
      <c r="H420" s="113"/>
      <c r="I420" s="114"/>
      <c r="J420" s="115"/>
      <c r="K420" s="116"/>
    </row>
    <row r="421" spans="1:11" s="142" customFormat="1" ht="15.75">
      <c r="A421" s="147"/>
      <c r="B421" s="113"/>
      <c r="C421" s="113">
        <v>1</v>
      </c>
      <c r="D421" s="117">
        <v>0.75</v>
      </c>
      <c r="E421" s="113">
        <v>0.45</v>
      </c>
      <c r="F421" s="113">
        <f>C421*D421*E421</f>
        <v>0.3375</v>
      </c>
      <c r="G421" s="113"/>
      <c r="H421" s="113"/>
      <c r="I421" s="114"/>
      <c r="J421" s="115"/>
      <c r="K421" s="116"/>
    </row>
    <row r="422" spans="1:11" s="142" customFormat="1" ht="15.75">
      <c r="A422" s="147"/>
      <c r="B422" s="113"/>
      <c r="C422" s="113"/>
      <c r="D422" s="113"/>
      <c r="E422" s="113"/>
      <c r="F422" s="113">
        <f>SUM(F420:F421)</f>
        <v>1.0575</v>
      </c>
      <c r="G422" s="116"/>
      <c r="H422" s="113"/>
      <c r="I422" s="118">
        <f>F422+H422</f>
        <v>1.0575</v>
      </c>
      <c r="J422" s="115">
        <v>750</v>
      </c>
      <c r="K422" s="115">
        <f>+J422*I422</f>
        <v>793.1250000000001</v>
      </c>
    </row>
    <row r="423" spans="1:11" ht="16.5">
      <c r="A423" s="145"/>
      <c r="B423" s="25" t="s">
        <v>14</v>
      </c>
      <c r="C423" s="30"/>
      <c r="D423" s="30"/>
      <c r="E423" s="30"/>
      <c r="F423" s="30"/>
      <c r="G423" s="30"/>
      <c r="H423" s="30"/>
      <c r="I423" s="43"/>
      <c r="J423" s="44"/>
      <c r="K423" s="51">
        <f>SUM(K388:K422)</f>
        <v>13766.75625</v>
      </c>
    </row>
    <row r="424" spans="1:11" ht="15.75">
      <c r="A424" s="145"/>
      <c r="B424" s="16" t="str">
        <f>$B$7</f>
        <v>Add Towards Overhead and Profit</v>
      </c>
      <c r="C424" s="60"/>
      <c r="D424" s="52"/>
      <c r="E424" s="52"/>
      <c r="F424" s="18">
        <f>$F$7</f>
        <v>15</v>
      </c>
      <c r="G424" s="24"/>
      <c r="H424" s="24"/>
      <c r="I424" s="53"/>
      <c r="J424" s="15"/>
      <c r="K424" s="46">
        <f>+K423*F424%</f>
        <v>2065.0134375</v>
      </c>
    </row>
    <row r="425" spans="1:11" ht="15.75">
      <c r="A425" s="145"/>
      <c r="B425" s="16" t="s">
        <v>223</v>
      </c>
      <c r="C425" s="60"/>
      <c r="D425" s="52"/>
      <c r="E425" s="52"/>
      <c r="F425" s="18"/>
      <c r="G425" s="24"/>
      <c r="H425" s="24"/>
      <c r="I425" s="53"/>
      <c r="J425" s="15"/>
      <c r="K425" s="46">
        <f>SUM(K423:K424)</f>
        <v>15831.7696875</v>
      </c>
    </row>
    <row r="426" spans="1:11" ht="16.5">
      <c r="A426" s="145"/>
      <c r="B426" s="128" t="s">
        <v>276</v>
      </c>
      <c r="C426" s="60"/>
      <c r="D426" s="52"/>
      <c r="E426" s="52"/>
      <c r="F426" s="18"/>
      <c r="G426" s="24"/>
      <c r="H426" s="24"/>
      <c r="I426" s="53"/>
      <c r="J426" s="92">
        <f>F422</f>
        <v>1.0575</v>
      </c>
      <c r="K426" s="46">
        <f>K425/J426</f>
        <v>14970.940602836878</v>
      </c>
    </row>
    <row r="427" spans="1:11" ht="17.25">
      <c r="A427" s="145"/>
      <c r="B427" s="25"/>
      <c r="C427" s="13"/>
      <c r="D427" s="25"/>
      <c r="E427" s="25"/>
      <c r="F427" s="25"/>
      <c r="G427" s="25"/>
      <c r="H427" s="25"/>
      <c r="I427" s="119" t="s">
        <v>224</v>
      </c>
      <c r="J427" s="112"/>
      <c r="K427" s="55">
        <v>15000</v>
      </c>
    </row>
    <row r="428" spans="1:11" s="141" customFormat="1" ht="16.5">
      <c r="A428" s="131"/>
      <c r="B428" s="120"/>
      <c r="C428" s="116"/>
      <c r="D428" s="120"/>
      <c r="E428" s="120"/>
      <c r="F428" s="120"/>
      <c r="G428" s="120"/>
      <c r="H428" s="120"/>
      <c r="I428" s="114"/>
      <c r="J428" s="121"/>
      <c r="K428" s="122"/>
    </row>
    <row r="429" spans="1:11" s="141" customFormat="1" ht="16.5">
      <c r="A429" s="146">
        <f>A385+1</f>
        <v>11</v>
      </c>
      <c r="B429" s="120" t="s">
        <v>321</v>
      </c>
      <c r="C429" s="120"/>
      <c r="D429" s="342"/>
      <c r="E429" s="342"/>
      <c r="F429" s="342"/>
      <c r="G429" s="120"/>
      <c r="H429" s="120"/>
      <c r="I429" s="114"/>
      <c r="J429" s="121"/>
      <c r="K429" s="122"/>
    </row>
    <row r="430" spans="1:11" s="141" customFormat="1" ht="16.5">
      <c r="A430" s="131"/>
      <c r="B430" s="116" t="s">
        <v>317</v>
      </c>
      <c r="C430" s="116"/>
      <c r="D430" s="116"/>
      <c r="E430" s="120">
        <v>1.2</v>
      </c>
      <c r="F430" s="120" t="s">
        <v>225</v>
      </c>
      <c r="G430" s="120">
        <v>0.6</v>
      </c>
      <c r="H430" s="120" t="s">
        <v>225</v>
      </c>
      <c r="I430" s="123">
        <v>0.75</v>
      </c>
      <c r="J430" s="2" t="s">
        <v>225</v>
      </c>
      <c r="K430" s="116">
        <f>E430*G430</f>
        <v>0.72</v>
      </c>
    </row>
    <row r="431" spans="1:11" s="141" customFormat="1" ht="16.5">
      <c r="A431" s="147"/>
      <c r="B431" s="120" t="s">
        <v>318</v>
      </c>
      <c r="C431" s="113">
        <v>1</v>
      </c>
      <c r="D431" s="113">
        <f>E430</f>
        <v>1.2</v>
      </c>
      <c r="E431" s="113">
        <f>G430</f>
        <v>0.6</v>
      </c>
      <c r="F431" s="113">
        <f>C431*D431*E431</f>
        <v>0.72</v>
      </c>
      <c r="G431" s="113"/>
      <c r="H431" s="113"/>
      <c r="I431" s="114"/>
      <c r="J431" s="115"/>
      <c r="K431" s="116"/>
    </row>
    <row r="432" spans="1:11" s="141" customFormat="1" ht="15.75">
      <c r="A432" s="147"/>
      <c r="B432" s="113"/>
      <c r="C432" s="113">
        <v>1</v>
      </c>
      <c r="D432" s="113">
        <f>E430</f>
        <v>1.2</v>
      </c>
      <c r="E432" s="113">
        <v>0.075</v>
      </c>
      <c r="F432" s="113">
        <f>C432*D432*E432</f>
        <v>0.09</v>
      </c>
      <c r="G432" s="113"/>
      <c r="H432" s="113"/>
      <c r="I432" s="114"/>
      <c r="J432" s="115"/>
      <c r="K432" s="116"/>
    </row>
    <row r="433" spans="1:11" s="141" customFormat="1" ht="15.75">
      <c r="A433" s="147"/>
      <c r="B433" s="113"/>
      <c r="C433" s="113"/>
      <c r="D433" s="113"/>
      <c r="E433" s="113"/>
      <c r="F433" s="113">
        <f>SUM(F431:F432)</f>
        <v>0.8099999999999999</v>
      </c>
      <c r="G433" s="116">
        <v>5</v>
      </c>
      <c r="H433" s="149">
        <f>F433*G433%</f>
        <v>0.0405</v>
      </c>
      <c r="I433" s="118">
        <f>F433+H433</f>
        <v>0.8504999999999999</v>
      </c>
      <c r="J433" s="115">
        <f>$D$11</f>
        <v>1325</v>
      </c>
      <c r="K433" s="115">
        <f>+J433*I433</f>
        <v>1126.9125</v>
      </c>
    </row>
    <row r="434" spans="1:11" s="141" customFormat="1" ht="16.5">
      <c r="A434" s="147"/>
      <c r="B434" s="140" t="s">
        <v>97</v>
      </c>
      <c r="C434" s="113"/>
      <c r="D434" s="113"/>
      <c r="E434" s="113"/>
      <c r="F434" s="113"/>
      <c r="G434" s="113"/>
      <c r="H434" s="149"/>
      <c r="I434" s="124"/>
      <c r="J434" s="115"/>
      <c r="K434" s="115"/>
    </row>
    <row r="435" spans="1:11" s="141" customFormat="1" ht="15.75">
      <c r="A435" s="147"/>
      <c r="B435" s="113" t="s">
        <v>306</v>
      </c>
      <c r="C435" s="113">
        <v>3</v>
      </c>
      <c r="D435" s="113">
        <v>0.45</v>
      </c>
      <c r="E435" s="117">
        <f>I430</f>
        <v>0.75</v>
      </c>
      <c r="F435" s="113">
        <f>C435*D435*E435</f>
        <v>1.0125000000000002</v>
      </c>
      <c r="G435" s="116">
        <v>5</v>
      </c>
      <c r="H435" s="149">
        <f>F435*G435%</f>
        <v>0.05062500000000001</v>
      </c>
      <c r="I435" s="118">
        <f>F435+H435</f>
        <v>1.063125</v>
      </c>
      <c r="J435" s="115">
        <f>$D$8</f>
        <v>800</v>
      </c>
      <c r="K435" s="115">
        <f>+J435*I435</f>
        <v>850.5000000000001</v>
      </c>
    </row>
    <row r="436" spans="1:11" s="141" customFormat="1" ht="16.5">
      <c r="A436" s="147"/>
      <c r="B436" s="140" t="s">
        <v>99</v>
      </c>
      <c r="C436" s="113"/>
      <c r="D436" s="113"/>
      <c r="E436" s="117"/>
      <c r="F436" s="113"/>
      <c r="G436" s="116"/>
      <c r="H436" s="113"/>
      <c r="I436" s="118"/>
      <c r="J436" s="115"/>
      <c r="K436" s="115"/>
    </row>
    <row r="437" spans="1:11" ht="16.5">
      <c r="A437" s="129"/>
      <c r="B437" s="40" t="s">
        <v>188</v>
      </c>
      <c r="C437" s="24"/>
      <c r="D437" s="24"/>
      <c r="E437" s="24"/>
      <c r="F437" s="28"/>
      <c r="G437" s="30"/>
      <c r="H437" s="42"/>
      <c r="I437" s="43"/>
      <c r="J437" s="44"/>
      <c r="K437" s="44"/>
    </row>
    <row r="438" spans="1:11" ht="16.5">
      <c r="A438" s="129"/>
      <c r="B438" s="31" t="s">
        <v>191</v>
      </c>
      <c r="C438" s="24">
        <v>2</v>
      </c>
      <c r="D438" s="24">
        <v>0.45</v>
      </c>
      <c r="E438" s="24">
        <v>0.6</v>
      </c>
      <c r="F438" s="28">
        <f>E438*D438*C438</f>
        <v>0.54</v>
      </c>
      <c r="G438" s="24"/>
      <c r="H438" s="24"/>
      <c r="I438" s="45"/>
      <c r="J438" s="46"/>
      <c r="K438" s="22"/>
    </row>
    <row r="439" spans="1:11" ht="16.5">
      <c r="A439" s="129"/>
      <c r="B439" s="31" t="s">
        <v>192</v>
      </c>
      <c r="C439" s="24">
        <v>2</v>
      </c>
      <c r="D439" s="24">
        <v>0.45</v>
      </c>
      <c r="E439" s="24">
        <v>0.6</v>
      </c>
      <c r="F439" s="28">
        <f>E439*D439*C439</f>
        <v>0.54</v>
      </c>
      <c r="G439" s="24"/>
      <c r="H439" s="24"/>
      <c r="I439" s="45"/>
      <c r="J439" s="46"/>
      <c r="K439" s="22"/>
    </row>
    <row r="440" spans="1:11" ht="16.5">
      <c r="A440" s="129"/>
      <c r="B440" s="31" t="s">
        <v>193</v>
      </c>
      <c r="C440" s="24">
        <v>3</v>
      </c>
      <c r="D440" s="24">
        <v>0.45</v>
      </c>
      <c r="E440" s="24">
        <v>0.4</v>
      </c>
      <c r="F440" s="28">
        <f>E440*D440*C440</f>
        <v>0.54</v>
      </c>
      <c r="G440" s="24"/>
      <c r="H440" s="24"/>
      <c r="I440" s="45"/>
      <c r="J440" s="46"/>
      <c r="K440" s="22"/>
    </row>
    <row r="441" spans="1:11" ht="16.5">
      <c r="A441" s="129"/>
      <c r="B441" s="31"/>
      <c r="C441" s="24"/>
      <c r="D441" s="24"/>
      <c r="E441" s="24"/>
      <c r="F441" s="28">
        <f>SUM(F438:F440)</f>
        <v>1.62</v>
      </c>
      <c r="G441" s="30">
        <v>5</v>
      </c>
      <c r="H441" s="42">
        <f>F441*G441%</f>
        <v>0.08100000000000002</v>
      </c>
      <c r="I441" s="43">
        <f>F441+H441</f>
        <v>1.701</v>
      </c>
      <c r="J441" s="44">
        <f>$D$9</f>
        <v>550</v>
      </c>
      <c r="K441" s="44">
        <f>+J441*I441</f>
        <v>935.5500000000001</v>
      </c>
    </row>
    <row r="442" spans="1:11" s="141" customFormat="1" ht="16.5">
      <c r="A442" s="147"/>
      <c r="B442" s="140" t="s">
        <v>104</v>
      </c>
      <c r="C442" s="113"/>
      <c r="D442" s="113"/>
      <c r="E442" s="113"/>
      <c r="F442" s="113"/>
      <c r="G442" s="113"/>
      <c r="H442" s="113"/>
      <c r="I442" s="114"/>
      <c r="J442" s="115"/>
      <c r="K442" s="116"/>
    </row>
    <row r="443" spans="1:11" ht="15.75">
      <c r="A443" s="145"/>
      <c r="B443" s="70" t="s">
        <v>258</v>
      </c>
      <c r="C443" s="30">
        <v>1</v>
      </c>
      <c r="D443" s="42">
        <f>E430</f>
        <v>1.2</v>
      </c>
      <c r="E443" s="30">
        <f>G430</f>
        <v>0.6</v>
      </c>
      <c r="F443" s="42">
        <f>C443*D443*E443</f>
        <v>0.72</v>
      </c>
      <c r="G443" s="60"/>
      <c r="H443" s="42"/>
      <c r="I443" s="43"/>
      <c r="J443" s="44"/>
      <c r="K443" s="44"/>
    </row>
    <row r="444" spans="1:11" ht="15.75">
      <c r="A444" s="145"/>
      <c r="B444" s="24" t="s">
        <v>260</v>
      </c>
      <c r="C444" s="30">
        <v>1</v>
      </c>
      <c r="D444" s="42">
        <f>D443</f>
        <v>1.2</v>
      </c>
      <c r="E444" s="30">
        <v>0.05</v>
      </c>
      <c r="F444" s="42">
        <f>C444*D444*E444</f>
        <v>0.06</v>
      </c>
      <c r="G444" s="60"/>
      <c r="H444" s="42"/>
      <c r="I444" s="43"/>
      <c r="J444" s="44"/>
      <c r="K444" s="44"/>
    </row>
    <row r="445" spans="1:11" s="141" customFormat="1" ht="15.75">
      <c r="A445" s="147"/>
      <c r="B445" s="113" t="s">
        <v>306</v>
      </c>
      <c r="C445" s="113">
        <v>2</v>
      </c>
      <c r="D445" s="113">
        <f>G430</f>
        <v>0.6</v>
      </c>
      <c r="E445" s="117">
        <f>I430</f>
        <v>0.75</v>
      </c>
      <c r="F445" s="113">
        <f>C445*D445*E445</f>
        <v>0.8999999999999999</v>
      </c>
      <c r="G445" s="116"/>
      <c r="H445" s="113"/>
      <c r="I445" s="118"/>
      <c r="J445" s="44"/>
      <c r="K445" s="115"/>
    </row>
    <row r="446" spans="1:11" s="141" customFormat="1" ht="15.75">
      <c r="A446" s="147"/>
      <c r="B446" s="113" t="s">
        <v>210</v>
      </c>
      <c r="C446" s="113">
        <v>1</v>
      </c>
      <c r="D446" s="113">
        <v>0.45</v>
      </c>
      <c r="E446" s="117">
        <v>0.75</v>
      </c>
      <c r="F446" s="113">
        <f>C446*D446*E446</f>
        <v>0.3375</v>
      </c>
      <c r="G446" s="116"/>
      <c r="H446" s="113"/>
      <c r="I446" s="118"/>
      <c r="J446" s="44"/>
      <c r="K446" s="115"/>
    </row>
    <row r="447" spans="1:11" s="141" customFormat="1" ht="15.75">
      <c r="A447" s="147"/>
      <c r="B447" s="113"/>
      <c r="C447" s="113"/>
      <c r="D447" s="113"/>
      <c r="E447" s="113"/>
      <c r="F447" s="117">
        <f>SUM(F443:F446)</f>
        <v>2.0175</v>
      </c>
      <c r="G447" s="116">
        <v>5</v>
      </c>
      <c r="H447" s="149">
        <f>F447*G447%</f>
        <v>0.100875</v>
      </c>
      <c r="I447" s="118">
        <f>F447+H447</f>
        <v>2.118375</v>
      </c>
      <c r="J447" s="44">
        <f>$D$15</f>
        <v>550</v>
      </c>
      <c r="K447" s="115">
        <f>+J447*I447</f>
        <v>1165.10625</v>
      </c>
    </row>
    <row r="448" spans="1:11" ht="16.5">
      <c r="A448" s="145"/>
      <c r="B448" s="102" t="s">
        <v>271</v>
      </c>
      <c r="C448" s="70">
        <v>1</v>
      </c>
      <c r="D448" s="110">
        <f>F447</f>
        <v>2.0175</v>
      </c>
      <c r="E448" s="70">
        <v>3</v>
      </c>
      <c r="F448" s="70">
        <f>C448*D448/E448</f>
        <v>0.6725</v>
      </c>
      <c r="G448" s="70"/>
      <c r="H448" s="70"/>
      <c r="I448" s="105">
        <f>F448</f>
        <v>0.6725</v>
      </c>
      <c r="J448" s="91">
        <f>$D$27</f>
        <v>225</v>
      </c>
      <c r="K448" s="91">
        <f>+J448*I448</f>
        <v>151.3125</v>
      </c>
    </row>
    <row r="449" spans="1:11" ht="16.5">
      <c r="A449" s="130"/>
      <c r="B449" s="25" t="s">
        <v>324</v>
      </c>
      <c r="C449" s="24"/>
      <c r="D449" s="45"/>
      <c r="E449" s="24"/>
      <c r="F449" s="45"/>
      <c r="G449" s="13"/>
      <c r="H449" s="24"/>
      <c r="I449" s="53"/>
      <c r="J449" s="91"/>
      <c r="K449" s="15"/>
    </row>
    <row r="450" spans="1:11" ht="15.75">
      <c r="A450" s="130"/>
      <c r="B450" s="24" t="s">
        <v>325</v>
      </c>
      <c r="C450" s="24">
        <v>1</v>
      </c>
      <c r="D450" s="28">
        <f>E430</f>
        <v>1.2</v>
      </c>
      <c r="E450" s="24"/>
      <c r="F450" s="45">
        <f>D450*C450</f>
        <v>1.2</v>
      </c>
      <c r="G450" s="13"/>
      <c r="H450" s="24"/>
      <c r="I450" s="53">
        <f>F450+H450</f>
        <v>1.2</v>
      </c>
      <c r="J450" s="91">
        <f>$I$101</f>
        <v>167</v>
      </c>
      <c r="K450" s="15">
        <f>+J450*I450</f>
        <v>200.4</v>
      </c>
    </row>
    <row r="451" spans="1:11" ht="16.5">
      <c r="A451" s="130"/>
      <c r="B451" s="25" t="s">
        <v>269</v>
      </c>
      <c r="C451" s="24"/>
      <c r="D451" s="45"/>
      <c r="E451" s="24"/>
      <c r="F451" s="45"/>
      <c r="G451" s="13"/>
      <c r="H451" s="24"/>
      <c r="I451" s="53"/>
      <c r="J451" s="91"/>
      <c r="K451" s="15"/>
    </row>
    <row r="452" spans="1:11" ht="15.75">
      <c r="A452" s="130"/>
      <c r="B452" s="24" t="s">
        <v>294</v>
      </c>
      <c r="C452" s="24">
        <v>2</v>
      </c>
      <c r="D452" s="28">
        <v>0.65</v>
      </c>
      <c r="E452" s="24"/>
      <c r="F452" s="45">
        <f>D452*C452</f>
        <v>1.3</v>
      </c>
      <c r="G452" s="13"/>
      <c r="H452" s="24"/>
      <c r="I452" s="53">
        <f>F452+H452</f>
        <v>1.3</v>
      </c>
      <c r="J452" s="91">
        <f>$I$117</f>
        <v>12</v>
      </c>
      <c r="K452" s="15">
        <f>+J452*I452</f>
        <v>15.600000000000001</v>
      </c>
    </row>
    <row r="453" spans="1:11" ht="16.5">
      <c r="A453" s="130"/>
      <c r="B453" s="25" t="s">
        <v>270</v>
      </c>
      <c r="C453" s="24"/>
      <c r="D453" s="45"/>
      <c r="E453" s="24"/>
      <c r="F453" s="45"/>
      <c r="G453" s="13"/>
      <c r="H453" s="24"/>
      <c r="I453" s="53"/>
      <c r="J453" s="91"/>
      <c r="K453" s="15"/>
    </row>
    <row r="454" spans="1:11" ht="15.75">
      <c r="A454" s="130"/>
      <c r="B454" s="24" t="s">
        <v>291</v>
      </c>
      <c r="C454" s="24">
        <f>3*4</f>
        <v>12</v>
      </c>
      <c r="D454" s="28">
        <v>0.45</v>
      </c>
      <c r="E454" s="24"/>
      <c r="F454" s="45">
        <f>D454*C454</f>
        <v>5.4</v>
      </c>
      <c r="G454" s="13"/>
      <c r="H454" s="24"/>
      <c r="I454" s="53">
        <f>F454+H454</f>
        <v>5.4</v>
      </c>
      <c r="J454" s="91">
        <f>$I$125</f>
        <v>9</v>
      </c>
      <c r="K454" s="15">
        <f>+J454*I454</f>
        <v>48.6</v>
      </c>
    </row>
    <row r="455" spans="1:11" ht="16.5">
      <c r="A455" s="129"/>
      <c r="B455" s="40" t="s">
        <v>214</v>
      </c>
      <c r="C455" s="24"/>
      <c r="D455" s="24"/>
      <c r="E455" s="24"/>
      <c r="F455" s="24"/>
      <c r="G455" s="24"/>
      <c r="H455" s="24"/>
      <c r="I455" s="45"/>
      <c r="J455" s="46"/>
      <c r="K455" s="22"/>
    </row>
    <row r="456" spans="1:11" ht="16.5">
      <c r="A456" s="129"/>
      <c r="B456" s="31" t="s">
        <v>215</v>
      </c>
      <c r="C456" s="24">
        <v>1</v>
      </c>
      <c r="D456" s="24"/>
      <c r="E456" s="24"/>
      <c r="F456" s="28">
        <f aca="true" t="shared" si="19" ref="F456:F461">C456</f>
        <v>1</v>
      </c>
      <c r="G456" s="24"/>
      <c r="H456" s="42">
        <f aca="true" t="shared" si="20" ref="H456:H461">F456*G456%</f>
        <v>0</v>
      </c>
      <c r="I456" s="49">
        <f aca="true" t="shared" si="21" ref="I456:I461">F456+H456</f>
        <v>1</v>
      </c>
      <c r="J456" s="46">
        <f>$D$36</f>
        <v>250</v>
      </c>
      <c r="K456" s="44">
        <f aca="true" t="shared" si="22" ref="K456:K461">+J456*I456</f>
        <v>250</v>
      </c>
    </row>
    <row r="457" spans="1:11" ht="16.5">
      <c r="A457" s="129"/>
      <c r="B457" s="31" t="s">
        <v>216</v>
      </c>
      <c r="C457" s="24">
        <v>1</v>
      </c>
      <c r="D457" s="24"/>
      <c r="E457" s="24"/>
      <c r="F457" s="28">
        <f t="shared" si="19"/>
        <v>1</v>
      </c>
      <c r="G457" s="24"/>
      <c r="H457" s="42">
        <f t="shared" si="20"/>
        <v>0</v>
      </c>
      <c r="I457" s="49">
        <f t="shared" si="21"/>
        <v>1</v>
      </c>
      <c r="J457" s="46">
        <f>$D$32</f>
        <v>1000</v>
      </c>
      <c r="K457" s="44">
        <f t="shared" si="22"/>
        <v>1000</v>
      </c>
    </row>
    <row r="458" spans="1:11" ht="16.5">
      <c r="A458" s="129"/>
      <c r="B458" s="31" t="s">
        <v>217</v>
      </c>
      <c r="C458" s="24">
        <v>1</v>
      </c>
      <c r="D458" s="24"/>
      <c r="E458" s="24"/>
      <c r="F458" s="28">
        <f t="shared" si="19"/>
        <v>1</v>
      </c>
      <c r="G458" s="24"/>
      <c r="H458" s="42">
        <f t="shared" si="20"/>
        <v>0</v>
      </c>
      <c r="I458" s="49">
        <f t="shared" si="21"/>
        <v>1</v>
      </c>
      <c r="J458" s="46">
        <f>$D$34</f>
        <v>1100</v>
      </c>
      <c r="K458" s="44">
        <f t="shared" si="22"/>
        <v>1100</v>
      </c>
    </row>
    <row r="459" spans="1:11" ht="16.5">
      <c r="A459" s="129"/>
      <c r="B459" s="31" t="s">
        <v>218</v>
      </c>
      <c r="C459" s="24">
        <v>3</v>
      </c>
      <c r="D459" s="24"/>
      <c r="E459" s="24"/>
      <c r="F459" s="28">
        <f t="shared" si="19"/>
        <v>3</v>
      </c>
      <c r="G459" s="24"/>
      <c r="H459" s="42">
        <f t="shared" si="20"/>
        <v>0</v>
      </c>
      <c r="I459" s="49">
        <f t="shared" si="21"/>
        <v>3</v>
      </c>
      <c r="J459" s="46">
        <f>$D$37</f>
        <v>125</v>
      </c>
      <c r="K459" s="44">
        <f t="shared" si="22"/>
        <v>375</v>
      </c>
    </row>
    <row r="460" spans="1:11" ht="19.5" customHeight="1">
      <c r="A460" s="129"/>
      <c r="B460" s="31" t="s">
        <v>221</v>
      </c>
      <c r="C460" s="24">
        <v>3</v>
      </c>
      <c r="D460" s="24"/>
      <c r="E460" s="24"/>
      <c r="F460" s="28">
        <f t="shared" si="19"/>
        <v>3</v>
      </c>
      <c r="G460" s="24"/>
      <c r="H460" s="42">
        <f t="shared" si="20"/>
        <v>0</v>
      </c>
      <c r="I460" s="49">
        <f t="shared" si="21"/>
        <v>3</v>
      </c>
      <c r="J460" s="46">
        <f>$D$39</f>
        <v>200</v>
      </c>
      <c r="K460" s="44">
        <f t="shared" si="22"/>
        <v>600</v>
      </c>
    </row>
    <row r="461" spans="1:11" ht="15.75">
      <c r="A461" s="130"/>
      <c r="B461" s="24" t="s">
        <v>273</v>
      </c>
      <c r="C461" s="24">
        <v>3</v>
      </c>
      <c r="D461" s="24"/>
      <c r="E461" s="24"/>
      <c r="F461" s="28">
        <f t="shared" si="19"/>
        <v>3</v>
      </c>
      <c r="G461" s="24"/>
      <c r="H461" s="42">
        <f t="shared" si="20"/>
        <v>0</v>
      </c>
      <c r="I461" s="49">
        <f t="shared" si="21"/>
        <v>3</v>
      </c>
      <c r="J461" s="46">
        <f>$D$36</f>
        <v>250</v>
      </c>
      <c r="K461" s="44">
        <f t="shared" si="22"/>
        <v>750</v>
      </c>
    </row>
    <row r="462" spans="1:11" ht="15.75">
      <c r="A462" s="130"/>
      <c r="B462" s="24" t="s">
        <v>274</v>
      </c>
      <c r="C462" s="24">
        <v>1</v>
      </c>
      <c r="D462" s="24"/>
      <c r="E462" s="24"/>
      <c r="F462" s="24"/>
      <c r="G462" s="24"/>
      <c r="H462" s="24"/>
      <c r="I462" s="14"/>
      <c r="J462" s="15"/>
      <c r="K462" s="15">
        <v>200</v>
      </c>
    </row>
    <row r="463" spans="1:11" s="142" customFormat="1" ht="15.75">
      <c r="A463" s="147"/>
      <c r="B463" s="113" t="s">
        <v>313</v>
      </c>
      <c r="C463" s="113">
        <v>1</v>
      </c>
      <c r="D463" s="113">
        <f>E430</f>
        <v>1.2</v>
      </c>
      <c r="E463" s="113">
        <f>G430</f>
        <v>0.6</v>
      </c>
      <c r="F463" s="113">
        <f>C463*D463*E463</f>
        <v>0.72</v>
      </c>
      <c r="G463" s="113"/>
      <c r="H463" s="113"/>
      <c r="I463" s="114"/>
      <c r="J463" s="115"/>
      <c r="K463" s="116"/>
    </row>
    <row r="464" spans="1:11" s="142" customFormat="1" ht="15.75">
      <c r="A464" s="147"/>
      <c r="B464" s="113"/>
      <c r="C464" s="113">
        <v>1</v>
      </c>
      <c r="D464" s="117">
        <v>0.75</v>
      </c>
      <c r="E464" s="113">
        <v>0.45</v>
      </c>
      <c r="F464" s="113">
        <f>C464*D464*E464</f>
        <v>0.3375</v>
      </c>
      <c r="G464" s="113"/>
      <c r="H464" s="113"/>
      <c r="I464" s="114"/>
      <c r="J464" s="115"/>
      <c r="K464" s="116"/>
    </row>
    <row r="465" spans="1:11" s="142" customFormat="1" ht="15.75">
      <c r="A465" s="147"/>
      <c r="B465" s="113"/>
      <c r="C465" s="113"/>
      <c r="D465" s="113"/>
      <c r="E465" s="113"/>
      <c r="F465" s="113">
        <f>SUM(F463:F464)</f>
        <v>1.0575</v>
      </c>
      <c r="G465" s="116"/>
      <c r="H465" s="113"/>
      <c r="I465" s="118">
        <f>F465+H465</f>
        <v>1.0575</v>
      </c>
      <c r="J465" s="115">
        <v>750</v>
      </c>
      <c r="K465" s="115">
        <f>+J465*I465</f>
        <v>793.1250000000001</v>
      </c>
    </row>
    <row r="466" spans="1:11" ht="16.5">
      <c r="A466" s="145"/>
      <c r="B466" s="25" t="s">
        <v>14</v>
      </c>
      <c r="C466" s="30"/>
      <c r="D466" s="30"/>
      <c r="E466" s="30"/>
      <c r="F466" s="30"/>
      <c r="G466" s="30"/>
      <c r="H466" s="30"/>
      <c r="I466" s="43"/>
      <c r="J466" s="44"/>
      <c r="K466" s="51">
        <f>SUM(K432:K465)</f>
        <v>9562.10625</v>
      </c>
    </row>
    <row r="467" spans="1:11" ht="15.75">
      <c r="A467" s="145"/>
      <c r="B467" s="16" t="str">
        <f>$B$7</f>
        <v>Add Towards Overhead and Profit</v>
      </c>
      <c r="C467" s="60"/>
      <c r="D467" s="52"/>
      <c r="E467" s="52"/>
      <c r="F467" s="18">
        <f>$F$7</f>
        <v>15</v>
      </c>
      <c r="G467" s="24"/>
      <c r="H467" s="24"/>
      <c r="I467" s="53"/>
      <c r="J467" s="15"/>
      <c r="K467" s="46">
        <f>+K466*F467%</f>
        <v>1434.3159375</v>
      </c>
    </row>
    <row r="468" spans="1:11" ht="15.75">
      <c r="A468" s="145"/>
      <c r="B468" s="16" t="s">
        <v>223</v>
      </c>
      <c r="C468" s="60"/>
      <c r="D468" s="52"/>
      <c r="E468" s="52"/>
      <c r="F468" s="18"/>
      <c r="G468" s="24"/>
      <c r="H468" s="24"/>
      <c r="I468" s="53"/>
      <c r="J468" s="15"/>
      <c r="K468" s="46">
        <f>SUM(K466:K467)</f>
        <v>10996.4221875</v>
      </c>
    </row>
    <row r="469" spans="1:11" ht="16.5">
      <c r="A469" s="145"/>
      <c r="B469" s="128" t="s">
        <v>276</v>
      </c>
      <c r="C469" s="60"/>
      <c r="D469" s="52"/>
      <c r="E469" s="52"/>
      <c r="F469" s="18"/>
      <c r="G469" s="24"/>
      <c r="H469" s="24"/>
      <c r="I469" s="53"/>
      <c r="J469" s="92">
        <f>F465</f>
        <v>1.0575</v>
      </c>
      <c r="K469" s="46">
        <f>K468/J469</f>
        <v>10398.507978723403</v>
      </c>
    </row>
    <row r="470" spans="1:11" ht="17.25">
      <c r="A470" s="145"/>
      <c r="B470" s="25"/>
      <c r="C470" s="13"/>
      <c r="D470" s="25"/>
      <c r="E470" s="25"/>
      <c r="F470" s="25"/>
      <c r="G470" s="25"/>
      <c r="H470" s="25"/>
      <c r="I470" s="119" t="s">
        <v>224</v>
      </c>
      <c r="J470" s="112"/>
      <c r="K470" s="55">
        <v>10500</v>
      </c>
    </row>
    <row r="471" spans="1:11" s="141" customFormat="1" ht="16.5">
      <c r="A471" s="131"/>
      <c r="B471" s="120"/>
      <c r="C471" s="116"/>
      <c r="D471" s="120"/>
      <c r="E471" s="120"/>
      <c r="F471" s="120"/>
      <c r="G471" s="120"/>
      <c r="H471" s="120"/>
      <c r="I471" s="114"/>
      <c r="J471" s="121"/>
      <c r="K471" s="122"/>
    </row>
    <row r="472" spans="1:11" ht="16.5">
      <c r="A472" s="132">
        <f>A429+1</f>
        <v>12</v>
      </c>
      <c r="B472" s="89" t="s">
        <v>31</v>
      </c>
      <c r="C472" s="25"/>
      <c r="D472" s="25"/>
      <c r="E472" s="37">
        <v>3</v>
      </c>
      <c r="F472" s="25" t="s">
        <v>225</v>
      </c>
      <c r="G472" s="25">
        <v>0.45</v>
      </c>
      <c r="H472" s="25" t="s">
        <v>225</v>
      </c>
      <c r="I472" s="41">
        <v>0.75</v>
      </c>
      <c r="J472" s="38" t="s">
        <v>225</v>
      </c>
      <c r="K472" s="10">
        <f>I472*E472</f>
        <v>2.25</v>
      </c>
    </row>
    <row r="473" spans="1:11" ht="16.5">
      <c r="A473" s="130"/>
      <c r="B473" s="25" t="s">
        <v>257</v>
      </c>
      <c r="C473" s="24"/>
      <c r="D473" s="24"/>
      <c r="E473" s="24"/>
      <c r="F473" s="28"/>
      <c r="G473" s="24"/>
      <c r="H473" s="24"/>
      <c r="I473" s="54"/>
      <c r="J473" s="21"/>
      <c r="K473" s="21"/>
    </row>
    <row r="474" spans="1:11" ht="15.75">
      <c r="A474" s="130"/>
      <c r="B474" s="24" t="s">
        <v>258</v>
      </c>
      <c r="C474" s="24">
        <v>1</v>
      </c>
      <c r="D474" s="45">
        <f>E472</f>
        <v>3</v>
      </c>
      <c r="E474" s="24">
        <f>G472</f>
        <v>0.45</v>
      </c>
      <c r="F474" s="28">
        <f>C474*D474*E474</f>
        <v>1.35</v>
      </c>
      <c r="G474" s="13">
        <v>5</v>
      </c>
      <c r="H474" s="28">
        <f>F474*G474%</f>
        <v>0.0675</v>
      </c>
      <c r="I474" s="53">
        <f>F474+H474</f>
        <v>1.4175</v>
      </c>
      <c r="J474" s="15">
        <f>$D$11</f>
        <v>1325</v>
      </c>
      <c r="K474" s="15">
        <f>+J474*I474</f>
        <v>1878.1875</v>
      </c>
    </row>
    <row r="475" spans="1:11" ht="16.5">
      <c r="A475" s="130"/>
      <c r="B475" s="140" t="s">
        <v>97</v>
      </c>
      <c r="C475" s="24"/>
      <c r="D475" s="24"/>
      <c r="E475" s="24"/>
      <c r="F475" s="28"/>
      <c r="G475" s="24"/>
      <c r="H475" s="24"/>
      <c r="I475" s="90"/>
      <c r="J475" s="15"/>
      <c r="K475" s="15"/>
    </row>
    <row r="476" spans="1:11" ht="15.75">
      <c r="A476" s="130"/>
      <c r="B476" s="24" t="s">
        <v>259</v>
      </c>
      <c r="C476" s="24">
        <v>4</v>
      </c>
      <c r="D476" s="45">
        <f>G472</f>
        <v>0.45</v>
      </c>
      <c r="E476" s="28">
        <f>I472</f>
        <v>0.75</v>
      </c>
      <c r="F476" s="28">
        <f>C476*D476*E476</f>
        <v>1.35</v>
      </c>
      <c r="G476" s="24"/>
      <c r="H476" s="24"/>
      <c r="I476" s="90"/>
      <c r="J476" s="15"/>
      <c r="K476" s="15"/>
    </row>
    <row r="477" spans="1:11" ht="15.75">
      <c r="A477" s="130"/>
      <c r="B477" s="24" t="s">
        <v>260</v>
      </c>
      <c r="C477" s="24">
        <v>1</v>
      </c>
      <c r="D477" s="45">
        <f>E472</f>
        <v>3</v>
      </c>
      <c r="E477" s="28">
        <v>0.05</v>
      </c>
      <c r="F477" s="28">
        <f>C477*D477*E477</f>
        <v>0.15000000000000002</v>
      </c>
      <c r="G477" s="24"/>
      <c r="H477" s="24"/>
      <c r="I477" s="14"/>
      <c r="J477" s="15"/>
      <c r="K477" s="13"/>
    </row>
    <row r="478" spans="1:11" ht="15.75">
      <c r="A478" s="130"/>
      <c r="B478" s="24" t="s">
        <v>261</v>
      </c>
      <c r="C478" s="24">
        <v>1</v>
      </c>
      <c r="D478" s="45">
        <f>E472</f>
        <v>3</v>
      </c>
      <c r="E478" s="28">
        <f>I472</f>
        <v>0.75</v>
      </c>
      <c r="F478" s="28">
        <f>C478*D478*E478</f>
        <v>2.25</v>
      </c>
      <c r="G478" s="24"/>
      <c r="H478" s="24"/>
      <c r="I478" s="14"/>
      <c r="J478" s="15"/>
      <c r="K478" s="13"/>
    </row>
    <row r="479" spans="1:11" ht="15.75">
      <c r="A479" s="130"/>
      <c r="B479" s="24"/>
      <c r="C479" s="24">
        <v>1</v>
      </c>
      <c r="D479" s="45">
        <f>E472-0.6</f>
        <v>2.4</v>
      </c>
      <c r="E479" s="28">
        <f>G472</f>
        <v>0.45</v>
      </c>
      <c r="F479" s="28">
        <f>C479*D479*E479</f>
        <v>1.08</v>
      </c>
      <c r="G479" s="24"/>
      <c r="H479" s="24"/>
      <c r="I479" s="14"/>
      <c r="J479" s="15"/>
      <c r="K479" s="13"/>
    </row>
    <row r="480" spans="1:11" ht="15.75">
      <c r="A480" s="130"/>
      <c r="B480" s="24"/>
      <c r="C480" s="24"/>
      <c r="D480" s="24"/>
      <c r="E480" s="24"/>
      <c r="F480" s="28">
        <f>SUM(F476:F479)</f>
        <v>4.83</v>
      </c>
      <c r="G480" s="13">
        <v>5</v>
      </c>
      <c r="H480" s="28">
        <f>F480*G480%</f>
        <v>0.24150000000000002</v>
      </c>
      <c r="I480" s="53">
        <f>F480+H480</f>
        <v>5.0715</v>
      </c>
      <c r="J480" s="91">
        <f>$D$8</f>
        <v>800</v>
      </c>
      <c r="K480" s="15">
        <f>+J480*I480</f>
        <v>4057.2000000000003</v>
      </c>
    </row>
    <row r="481" spans="1:11" ht="16.5">
      <c r="A481" s="130"/>
      <c r="B481" s="140" t="s">
        <v>99</v>
      </c>
      <c r="C481" s="24"/>
      <c r="D481" s="24"/>
      <c r="E481" s="24"/>
      <c r="F481" s="28"/>
      <c r="G481" s="24"/>
      <c r="H481" s="24"/>
      <c r="I481" s="90"/>
      <c r="J481" s="15"/>
      <c r="K481" s="15"/>
    </row>
    <row r="482" spans="1:11" ht="15.75">
      <c r="A482" s="130"/>
      <c r="B482" s="24" t="s">
        <v>262</v>
      </c>
      <c r="C482" s="24">
        <v>1</v>
      </c>
      <c r="D482" s="45">
        <f>E472</f>
        <v>3</v>
      </c>
      <c r="E482" s="28">
        <f>I472</f>
        <v>0.75</v>
      </c>
      <c r="F482" s="28">
        <f>C482*D482*E482</f>
        <v>2.25</v>
      </c>
      <c r="G482" s="24"/>
      <c r="H482" s="24"/>
      <c r="I482" s="14"/>
      <c r="J482" s="15"/>
      <c r="K482" s="13"/>
    </row>
    <row r="483" spans="1:11" ht="15.75">
      <c r="A483" s="130"/>
      <c r="B483" s="24" t="s">
        <v>263</v>
      </c>
      <c r="C483" s="24">
        <v>1</v>
      </c>
      <c r="D483" s="45">
        <f>E472</f>
        <v>3</v>
      </c>
      <c r="E483" s="28">
        <f>G472</f>
        <v>0.45</v>
      </c>
      <c r="F483" s="28">
        <f>C483*D483*E483</f>
        <v>1.35</v>
      </c>
      <c r="G483" s="24"/>
      <c r="H483" s="24"/>
      <c r="I483" s="14"/>
      <c r="J483" s="15"/>
      <c r="K483" s="13"/>
    </row>
    <row r="484" spans="1:11" ht="15.75">
      <c r="A484" s="130"/>
      <c r="B484" s="24"/>
      <c r="C484" s="24"/>
      <c r="D484" s="24"/>
      <c r="E484" s="24"/>
      <c r="F484" s="28">
        <f>SUM(F482:F483)</f>
        <v>3.6</v>
      </c>
      <c r="G484" s="13">
        <v>5</v>
      </c>
      <c r="H484" s="28">
        <f>F484*G484%</f>
        <v>0.18000000000000002</v>
      </c>
      <c r="I484" s="53">
        <f>F484+H484</f>
        <v>3.7800000000000002</v>
      </c>
      <c r="J484" s="91">
        <f>$D$9</f>
        <v>550</v>
      </c>
      <c r="K484" s="15">
        <f>+J484*I484</f>
        <v>2079</v>
      </c>
    </row>
    <row r="485" spans="1:11" ht="21" customHeight="1">
      <c r="A485" s="130"/>
      <c r="B485" s="140" t="s">
        <v>104</v>
      </c>
      <c r="C485" s="24"/>
      <c r="D485" s="24"/>
      <c r="E485" s="24"/>
      <c r="F485" s="24"/>
      <c r="G485" s="24"/>
      <c r="H485" s="28"/>
      <c r="I485" s="90"/>
      <c r="J485" s="15"/>
      <c r="K485" s="15"/>
    </row>
    <row r="486" spans="1:11" ht="15.75">
      <c r="A486" s="130"/>
      <c r="B486" s="24" t="s">
        <v>264</v>
      </c>
      <c r="C486" s="24">
        <v>1</v>
      </c>
      <c r="D486" s="45">
        <f>E472</f>
        <v>3</v>
      </c>
      <c r="E486" s="28">
        <f>I472</f>
        <v>0.75</v>
      </c>
      <c r="F486" s="24">
        <f>C486*D486*E486</f>
        <v>2.25</v>
      </c>
      <c r="G486" s="24"/>
      <c r="H486" s="28"/>
      <c r="I486" s="14"/>
      <c r="J486" s="15"/>
      <c r="K486" s="13"/>
    </row>
    <row r="487" spans="1:11" ht="15.75">
      <c r="A487" s="130"/>
      <c r="B487" s="24" t="s">
        <v>200</v>
      </c>
      <c r="C487" s="24">
        <v>1</v>
      </c>
      <c r="D487" s="28">
        <f>G472</f>
        <v>0.45</v>
      </c>
      <c r="E487" s="28">
        <f>I472</f>
        <v>0.75</v>
      </c>
      <c r="F487" s="28">
        <f>C487*D487*E487</f>
        <v>0.3375</v>
      </c>
      <c r="G487" s="24"/>
      <c r="H487" s="28"/>
      <c r="I487" s="14"/>
      <c r="J487" s="15"/>
      <c r="K487" s="13"/>
    </row>
    <row r="488" spans="1:11" ht="15.75">
      <c r="A488" s="130"/>
      <c r="B488" s="24"/>
      <c r="C488" s="24"/>
      <c r="D488" s="24"/>
      <c r="E488" s="24"/>
      <c r="F488" s="28">
        <f>SUM(F486:F487)</f>
        <v>2.5875</v>
      </c>
      <c r="G488" s="13">
        <v>5</v>
      </c>
      <c r="H488" s="28">
        <f>F488*G488%</f>
        <v>0.129375</v>
      </c>
      <c r="I488" s="53">
        <f>F488+H488</f>
        <v>2.716875</v>
      </c>
      <c r="J488" s="91">
        <f>$D$15</f>
        <v>550</v>
      </c>
      <c r="K488" s="15">
        <f>+J488*I488</f>
        <v>1494.28125</v>
      </c>
    </row>
    <row r="489" spans="1:11" ht="16.5">
      <c r="A489" s="145"/>
      <c r="B489" s="140" t="s">
        <v>110</v>
      </c>
      <c r="C489" s="30"/>
      <c r="D489" s="42"/>
      <c r="E489" s="30"/>
      <c r="F489" s="42"/>
      <c r="G489" s="60"/>
      <c r="H489" s="42"/>
      <c r="I489" s="43"/>
      <c r="J489" s="44"/>
      <c r="K489" s="44"/>
    </row>
    <row r="490" spans="1:11" ht="15.75">
      <c r="A490" s="145"/>
      <c r="B490" s="70" t="s">
        <v>258</v>
      </c>
      <c r="C490" s="30">
        <v>1</v>
      </c>
      <c r="D490" s="42">
        <f>E472</f>
        <v>3</v>
      </c>
      <c r="E490" s="30">
        <f>G472</f>
        <v>0.45</v>
      </c>
      <c r="F490" s="42">
        <f>C490*D490*E490</f>
        <v>1.35</v>
      </c>
      <c r="G490" s="60"/>
      <c r="H490" s="42"/>
      <c r="I490" s="43"/>
      <c r="J490" s="44"/>
      <c r="K490" s="44"/>
    </row>
    <row r="491" spans="1:11" ht="15.75">
      <c r="A491" s="145"/>
      <c r="B491" s="24" t="s">
        <v>260</v>
      </c>
      <c r="C491" s="30">
        <v>1</v>
      </c>
      <c r="D491" s="42">
        <f>E472</f>
        <v>3</v>
      </c>
      <c r="E491" s="30">
        <v>0.05</v>
      </c>
      <c r="F491" s="42">
        <f>C491*D491*E491</f>
        <v>0.15000000000000002</v>
      </c>
      <c r="G491" s="60"/>
      <c r="H491" s="42"/>
      <c r="I491" s="43"/>
      <c r="J491" s="44"/>
      <c r="K491" s="44"/>
    </row>
    <row r="492" spans="1:11" ht="15.75">
      <c r="A492" s="145"/>
      <c r="B492" s="30"/>
      <c r="C492" s="30"/>
      <c r="D492" s="42"/>
      <c r="E492" s="30"/>
      <c r="F492" s="42">
        <f>SUM(F490:F491)</f>
        <v>1.5</v>
      </c>
      <c r="G492" s="60"/>
      <c r="H492" s="30">
        <f>F492*G492%</f>
        <v>0</v>
      </c>
      <c r="I492" s="43">
        <f>F492+H492</f>
        <v>1.5</v>
      </c>
      <c r="J492" s="44">
        <f>$D$20</f>
        <v>6300</v>
      </c>
      <c r="K492" s="44">
        <f>+J492*I492</f>
        <v>9450</v>
      </c>
    </row>
    <row r="493" spans="1:11" ht="16.5">
      <c r="A493" s="130"/>
      <c r="B493" s="25" t="s">
        <v>265</v>
      </c>
      <c r="C493" s="24"/>
      <c r="D493" s="24"/>
      <c r="E493" s="24"/>
      <c r="F493" s="24"/>
      <c r="G493" s="24"/>
      <c r="H493" s="24"/>
      <c r="I493" s="90"/>
      <c r="J493" s="15"/>
      <c r="K493" s="15"/>
    </row>
    <row r="494" spans="1:11" ht="15.75">
      <c r="A494" s="130"/>
      <c r="B494" s="24" t="s">
        <v>266</v>
      </c>
      <c r="C494" s="24">
        <v>2</v>
      </c>
      <c r="D494" s="45">
        <f>E472</f>
        <v>3</v>
      </c>
      <c r="E494" s="24">
        <f>G472</f>
        <v>0.45</v>
      </c>
      <c r="F494" s="28">
        <f>C494*D494*E494</f>
        <v>2.7</v>
      </c>
      <c r="G494" s="24"/>
      <c r="H494" s="24"/>
      <c r="I494" s="90"/>
      <c r="J494" s="15"/>
      <c r="K494" s="15"/>
    </row>
    <row r="495" spans="1:11" ht="15.75">
      <c r="A495" s="130"/>
      <c r="B495" s="24" t="s">
        <v>267</v>
      </c>
      <c r="C495" s="24">
        <v>2</v>
      </c>
      <c r="D495" s="45">
        <f>E472</f>
        <v>3</v>
      </c>
      <c r="E495" s="28">
        <f>I472</f>
        <v>0.75</v>
      </c>
      <c r="F495" s="28">
        <f>C495*D495*E495</f>
        <v>4.5</v>
      </c>
      <c r="G495" s="24"/>
      <c r="H495" s="24"/>
      <c r="I495" s="90"/>
      <c r="J495" s="15"/>
      <c r="K495" s="15"/>
    </row>
    <row r="496" spans="1:11" ht="15.75">
      <c r="A496" s="130"/>
      <c r="B496" s="24" t="s">
        <v>268</v>
      </c>
      <c r="C496" s="24">
        <v>2</v>
      </c>
      <c r="D496" s="24">
        <v>1.7</v>
      </c>
      <c r="E496" s="24">
        <v>0.45</v>
      </c>
      <c r="F496" s="28">
        <f>C496*D496*E496</f>
        <v>1.53</v>
      </c>
      <c r="G496" s="24"/>
      <c r="H496" s="24"/>
      <c r="I496" s="14"/>
      <c r="J496" s="15"/>
      <c r="K496" s="13"/>
    </row>
    <row r="497" spans="1:11" ht="15.75">
      <c r="A497" s="130"/>
      <c r="B497" s="24" t="s">
        <v>200</v>
      </c>
      <c r="C497" s="24">
        <v>6</v>
      </c>
      <c r="D497" s="24">
        <v>0.45</v>
      </c>
      <c r="E497" s="28">
        <f>I472</f>
        <v>0.75</v>
      </c>
      <c r="F497" s="28">
        <f>C497*D497*E497</f>
        <v>2.0250000000000004</v>
      </c>
      <c r="G497" s="24"/>
      <c r="H497" s="24"/>
      <c r="I497" s="14"/>
      <c r="J497" s="15"/>
      <c r="K497" s="13"/>
    </row>
    <row r="498" spans="1:11" ht="15.75">
      <c r="A498" s="130"/>
      <c r="B498" s="24"/>
      <c r="C498" s="24"/>
      <c r="D498" s="24"/>
      <c r="E498" s="24"/>
      <c r="F498" s="45">
        <f>SUM(F494:F497)</f>
        <v>10.755</v>
      </c>
      <c r="G498" s="13"/>
      <c r="H498" s="24"/>
      <c r="I498" s="53">
        <f>F498+H498</f>
        <v>10.755</v>
      </c>
      <c r="J498" s="91">
        <f>$D$28</f>
        <v>120</v>
      </c>
      <c r="K498" s="15">
        <f>+J498*I498</f>
        <v>1290.6000000000001</v>
      </c>
    </row>
    <row r="499" spans="1:11" ht="16.5">
      <c r="A499" s="130"/>
      <c r="B499" s="25" t="s">
        <v>269</v>
      </c>
      <c r="C499" s="24"/>
      <c r="D499" s="45"/>
      <c r="E499" s="24"/>
      <c r="F499" s="45"/>
      <c r="G499" s="13"/>
      <c r="H499" s="24"/>
      <c r="I499" s="53"/>
      <c r="J499" s="91"/>
      <c r="K499" s="15"/>
    </row>
    <row r="500" spans="1:11" ht="15.75">
      <c r="A500" s="130"/>
      <c r="B500" s="24" t="s">
        <v>259</v>
      </c>
      <c r="C500" s="24">
        <v>4</v>
      </c>
      <c r="D500" s="28">
        <f>I472</f>
        <v>0.75</v>
      </c>
      <c r="E500" s="24"/>
      <c r="F500" s="45">
        <f>D500*C500</f>
        <v>3</v>
      </c>
      <c r="G500" s="13"/>
      <c r="H500" s="24"/>
      <c r="I500" s="53"/>
      <c r="J500" s="91"/>
      <c r="K500" s="15"/>
    </row>
    <row r="501" spans="1:11" ht="15.75">
      <c r="A501" s="130"/>
      <c r="B501" s="24" t="s">
        <v>261</v>
      </c>
      <c r="C501" s="24">
        <f>6*2</f>
        <v>12</v>
      </c>
      <c r="D501" s="28">
        <f>I472</f>
        <v>0.75</v>
      </c>
      <c r="E501" s="24"/>
      <c r="F501" s="45">
        <f>D501*C501</f>
        <v>9</v>
      </c>
      <c r="G501" s="13"/>
      <c r="H501" s="24"/>
      <c r="I501" s="53"/>
      <c r="J501" s="91"/>
      <c r="K501" s="15"/>
    </row>
    <row r="502" spans="1:11" ht="15.75">
      <c r="A502" s="130"/>
      <c r="B502" s="24" t="s">
        <v>193</v>
      </c>
      <c r="C502" s="24">
        <v>1</v>
      </c>
      <c r="D502" s="45">
        <f>E472</f>
        <v>3</v>
      </c>
      <c r="E502" s="24"/>
      <c r="F502" s="45">
        <f>D502*C502</f>
        <v>3</v>
      </c>
      <c r="G502" s="13"/>
      <c r="H502" s="24"/>
      <c r="I502" s="53"/>
      <c r="J502" s="91"/>
      <c r="K502" s="15"/>
    </row>
    <row r="503" spans="1:11" ht="15.75">
      <c r="A503" s="130"/>
      <c r="B503" s="24"/>
      <c r="C503" s="24"/>
      <c r="D503" s="45"/>
      <c r="E503" s="24"/>
      <c r="F503" s="45">
        <f>SUM(F500:F502)</f>
        <v>15</v>
      </c>
      <c r="G503" s="13"/>
      <c r="H503" s="24"/>
      <c r="I503" s="53">
        <f>F503+H503</f>
        <v>15</v>
      </c>
      <c r="J503" s="91">
        <f>$I$117</f>
        <v>12</v>
      </c>
      <c r="K503" s="15">
        <f>+J503*I503</f>
        <v>180</v>
      </c>
    </row>
    <row r="504" spans="1:11" ht="16.5">
      <c r="A504" s="130"/>
      <c r="B504" s="25" t="s">
        <v>270</v>
      </c>
      <c r="C504" s="24"/>
      <c r="D504" s="45"/>
      <c r="E504" s="24"/>
      <c r="F504" s="45"/>
      <c r="G504" s="13"/>
      <c r="H504" s="24"/>
      <c r="I504" s="53"/>
      <c r="J504" s="91"/>
      <c r="K504" s="15"/>
    </row>
    <row r="505" spans="1:11" ht="15.75">
      <c r="A505" s="130"/>
      <c r="B505" s="24" t="s">
        <v>263</v>
      </c>
      <c r="C505" s="24">
        <v>2</v>
      </c>
      <c r="D505" s="28">
        <f>E472</f>
        <v>3</v>
      </c>
      <c r="E505" s="24"/>
      <c r="F505" s="45">
        <f>D505*C505</f>
        <v>6</v>
      </c>
      <c r="G505" s="13"/>
      <c r="H505" s="24"/>
      <c r="I505" s="53"/>
      <c r="J505" s="91"/>
      <c r="K505" s="15"/>
    </row>
    <row r="506" spans="1:11" ht="15.75">
      <c r="A506" s="130"/>
      <c r="B506" s="24" t="s">
        <v>261</v>
      </c>
      <c r="C506" s="24">
        <f>2*3</f>
        <v>6</v>
      </c>
      <c r="D506" s="28">
        <f>G472</f>
        <v>0.45</v>
      </c>
      <c r="E506" s="24"/>
      <c r="F506" s="45">
        <f>D506*C506</f>
        <v>2.7</v>
      </c>
      <c r="G506" s="13"/>
      <c r="H506" s="24"/>
      <c r="I506" s="53"/>
      <c r="J506" s="91"/>
      <c r="K506" s="15"/>
    </row>
    <row r="507" spans="1:11" ht="15.75">
      <c r="A507" s="130"/>
      <c r="B507" s="24"/>
      <c r="C507" s="24"/>
      <c r="D507" s="45"/>
      <c r="E507" s="24"/>
      <c r="F507" s="45">
        <f>SUM(F505:F506)</f>
        <v>8.7</v>
      </c>
      <c r="G507" s="13"/>
      <c r="H507" s="24"/>
      <c r="I507" s="53">
        <f>F507+H507</f>
        <v>8.7</v>
      </c>
      <c r="J507" s="91">
        <f>$I$125</f>
        <v>9</v>
      </c>
      <c r="K507" s="15">
        <f>+J507*I507</f>
        <v>78.3</v>
      </c>
    </row>
    <row r="508" spans="1:11" ht="16.5">
      <c r="A508" s="130"/>
      <c r="B508" s="25" t="s">
        <v>271</v>
      </c>
      <c r="C508" s="24">
        <v>1</v>
      </c>
      <c r="D508" s="28">
        <f>F488</f>
        <v>2.5875</v>
      </c>
      <c r="E508" s="24">
        <v>3</v>
      </c>
      <c r="F508" s="28">
        <f>C508*D508/E508</f>
        <v>0.8624999999999999</v>
      </c>
      <c r="G508" s="24"/>
      <c r="H508" s="24"/>
      <c r="I508" s="90">
        <f>F508</f>
        <v>0.8624999999999999</v>
      </c>
      <c r="J508" s="91">
        <f>$D$27</f>
        <v>225</v>
      </c>
      <c r="K508" s="15">
        <f>+J508*I508</f>
        <v>194.06249999999997</v>
      </c>
    </row>
    <row r="509" spans="1:11" ht="16.5">
      <c r="A509" s="130"/>
      <c r="B509" s="25" t="s">
        <v>272</v>
      </c>
      <c r="C509" s="24"/>
      <c r="D509" s="24"/>
      <c r="E509" s="24"/>
      <c r="F509" s="24"/>
      <c r="G509" s="24"/>
      <c r="H509" s="24"/>
      <c r="I509" s="14"/>
      <c r="J509" s="15"/>
      <c r="K509" s="92"/>
    </row>
    <row r="510" spans="1:11" ht="16.5">
      <c r="A510" s="129"/>
      <c r="B510" s="31" t="s">
        <v>219</v>
      </c>
      <c r="C510" s="24">
        <v>6</v>
      </c>
      <c r="D510" s="24"/>
      <c r="E510" s="24"/>
      <c r="F510" s="28">
        <f>C510</f>
        <v>6</v>
      </c>
      <c r="G510" s="24"/>
      <c r="H510" s="28">
        <f>E510</f>
        <v>0</v>
      </c>
      <c r="I510" s="28">
        <f>F510</f>
        <v>6</v>
      </c>
      <c r="J510" s="46">
        <f>$D$38</f>
        <v>100</v>
      </c>
      <c r="K510" s="44">
        <f>+J510*I510</f>
        <v>600</v>
      </c>
    </row>
    <row r="511" spans="1:11" ht="16.5">
      <c r="A511" s="129"/>
      <c r="B511" s="31" t="s">
        <v>220</v>
      </c>
      <c r="C511" s="24">
        <v>3</v>
      </c>
      <c r="D511" s="24"/>
      <c r="E511" s="24"/>
      <c r="F511" s="28">
        <f>C511</f>
        <v>3</v>
      </c>
      <c r="G511" s="24"/>
      <c r="H511" s="28">
        <f>E511</f>
        <v>0</v>
      </c>
      <c r="I511" s="28">
        <f>F511</f>
        <v>3</v>
      </c>
      <c r="J511" s="46">
        <f>$D$40</f>
        <v>125</v>
      </c>
      <c r="K511" s="44">
        <f>+J511*I511</f>
        <v>375</v>
      </c>
    </row>
    <row r="512" spans="1:11" ht="19.5" customHeight="1">
      <c r="A512" s="129"/>
      <c r="B512" s="31" t="s">
        <v>221</v>
      </c>
      <c r="C512" s="24">
        <v>6</v>
      </c>
      <c r="D512" s="24"/>
      <c r="E512" s="24"/>
      <c r="F512" s="28">
        <f>C512</f>
        <v>6</v>
      </c>
      <c r="G512" s="24"/>
      <c r="H512" s="42">
        <f>F512*G512%</f>
        <v>0</v>
      </c>
      <c r="I512" s="49">
        <f>F512+H512</f>
        <v>6</v>
      </c>
      <c r="J512" s="46">
        <f>$D$39</f>
        <v>200</v>
      </c>
      <c r="K512" s="44">
        <f>+J512*I512</f>
        <v>1200</v>
      </c>
    </row>
    <row r="513" spans="1:11" ht="15.75">
      <c r="A513" s="130"/>
      <c r="B513" s="24" t="s">
        <v>273</v>
      </c>
      <c r="C513" s="24">
        <v>3</v>
      </c>
      <c r="D513" s="24"/>
      <c r="E513" s="24"/>
      <c r="F513" s="28">
        <f>C513</f>
        <v>3</v>
      </c>
      <c r="G513" s="24"/>
      <c r="H513" s="42">
        <f>F513*G513%</f>
        <v>0</v>
      </c>
      <c r="I513" s="49">
        <f>F513+H513</f>
        <v>3</v>
      </c>
      <c r="J513" s="46">
        <f>$D$36</f>
        <v>250</v>
      </c>
      <c r="K513" s="44">
        <f>+J513*I513</f>
        <v>750</v>
      </c>
    </row>
    <row r="514" spans="1:11" ht="15.75">
      <c r="A514" s="130"/>
      <c r="B514" s="24" t="s">
        <v>274</v>
      </c>
      <c r="C514" s="24">
        <v>1</v>
      </c>
      <c r="D514" s="24"/>
      <c r="E514" s="24"/>
      <c r="F514" s="24"/>
      <c r="G514" s="24"/>
      <c r="H514" s="24"/>
      <c r="I514" s="14"/>
      <c r="J514" s="15"/>
      <c r="K514" s="15">
        <v>200</v>
      </c>
    </row>
    <row r="515" spans="1:11" ht="15.75">
      <c r="A515" s="130"/>
      <c r="B515" s="24" t="s">
        <v>275</v>
      </c>
      <c r="C515" s="24">
        <v>1</v>
      </c>
      <c r="D515" s="24">
        <f>E472</f>
        <v>3</v>
      </c>
      <c r="E515" s="28">
        <f>I472</f>
        <v>0.75</v>
      </c>
      <c r="F515" s="24">
        <f>C515*D515*E515</f>
        <v>2.25</v>
      </c>
      <c r="G515" s="24"/>
      <c r="H515" s="24"/>
      <c r="I515" s="93">
        <f>F515</f>
        <v>2.25</v>
      </c>
      <c r="J515" s="15">
        <v>1000</v>
      </c>
      <c r="K515" s="15">
        <f>+J515*I515</f>
        <v>2250</v>
      </c>
    </row>
    <row r="516" spans="1:11" ht="16.5">
      <c r="A516" s="130"/>
      <c r="B516" s="24" t="s">
        <v>14</v>
      </c>
      <c r="C516" s="24"/>
      <c r="D516" s="24"/>
      <c r="E516" s="24"/>
      <c r="F516" s="24"/>
      <c r="G516" s="24"/>
      <c r="H516" s="24"/>
      <c r="I516" s="14"/>
      <c r="J516" s="15"/>
      <c r="K516" s="21">
        <f>SUM(K473:K515)</f>
        <v>26076.63125</v>
      </c>
    </row>
    <row r="517" spans="1:11" ht="15.75">
      <c r="A517" s="133"/>
      <c r="B517" s="16" t="str">
        <f>$B$7</f>
        <v>Add Towards Overhead and Profit</v>
      </c>
      <c r="C517" s="74"/>
      <c r="D517" s="94"/>
      <c r="E517" s="94"/>
      <c r="F517" s="95">
        <v>15</v>
      </c>
      <c r="G517" s="70"/>
      <c r="H517" s="70"/>
      <c r="I517" s="96">
        <f>K516</f>
        <v>26076.63125</v>
      </c>
      <c r="J517" s="91"/>
      <c r="K517" s="97">
        <f>I517*F517%</f>
        <v>3911.4946874999996</v>
      </c>
    </row>
    <row r="518" spans="1:11" ht="15.75">
      <c r="A518" s="133"/>
      <c r="B518" s="98" t="s">
        <v>223</v>
      </c>
      <c r="C518" s="74"/>
      <c r="D518" s="94"/>
      <c r="E518" s="94"/>
      <c r="F518" s="95"/>
      <c r="G518" s="70"/>
      <c r="H518" s="70"/>
      <c r="I518" s="96"/>
      <c r="J518" s="91"/>
      <c r="K518" s="97">
        <f>SUM(K516:K517)</f>
        <v>29988.125937499997</v>
      </c>
    </row>
    <row r="519" spans="1:11" ht="16.5">
      <c r="A519" s="145"/>
      <c r="B519" s="99" t="s">
        <v>276</v>
      </c>
      <c r="C519" s="65"/>
      <c r="D519" s="66"/>
      <c r="E519" s="67"/>
      <c r="F519" s="25"/>
      <c r="G519" s="25"/>
      <c r="H519" s="25"/>
      <c r="I519" s="14">
        <f>K518</f>
        <v>29988.125937499997</v>
      </c>
      <c r="J519" s="100">
        <f>K472</f>
        <v>2.25</v>
      </c>
      <c r="K519" s="68">
        <f>I519/J519</f>
        <v>13328.05597222222</v>
      </c>
    </row>
    <row r="520" spans="1:11" ht="17.25">
      <c r="A520" s="145"/>
      <c r="B520" s="99"/>
      <c r="C520" s="65"/>
      <c r="D520" s="66"/>
      <c r="E520" s="67"/>
      <c r="F520" s="25"/>
      <c r="G520" s="25"/>
      <c r="H520" s="25"/>
      <c r="I520" s="111" t="s">
        <v>224</v>
      </c>
      <c r="J520" s="112"/>
      <c r="K520" s="101">
        <v>13000</v>
      </c>
    </row>
    <row r="521" spans="1:11" ht="16.5">
      <c r="A521" s="145"/>
      <c r="B521" s="25"/>
      <c r="C521" s="65"/>
      <c r="D521" s="66"/>
      <c r="E521" s="67"/>
      <c r="F521" s="25"/>
      <c r="G521" s="25"/>
      <c r="H521" s="25"/>
      <c r="I521" s="14"/>
      <c r="J521" s="26"/>
      <c r="K521" s="69"/>
    </row>
    <row r="522" spans="1:11" ht="16.5">
      <c r="A522" s="132">
        <f>A472+1</f>
        <v>13</v>
      </c>
      <c r="B522" s="89" t="s">
        <v>277</v>
      </c>
      <c r="C522" s="102"/>
      <c r="D522" s="102"/>
      <c r="E522" s="102">
        <v>2.1</v>
      </c>
      <c r="F522" s="102" t="s">
        <v>225</v>
      </c>
      <c r="G522" s="102">
        <v>0.9</v>
      </c>
      <c r="H522" s="102" t="s">
        <v>225</v>
      </c>
      <c r="I522" s="102">
        <v>0.75</v>
      </c>
      <c r="J522" s="103" t="s">
        <v>225</v>
      </c>
      <c r="K522" s="102">
        <f>G522*E522</f>
        <v>1.8900000000000001</v>
      </c>
    </row>
    <row r="523" spans="1:11" ht="16.5">
      <c r="A523" s="145"/>
      <c r="B523" s="74" t="s">
        <v>278</v>
      </c>
      <c r="C523" s="74"/>
      <c r="D523" s="74"/>
      <c r="E523" s="104">
        <v>1.05</v>
      </c>
      <c r="F523" s="104" t="s">
        <v>225</v>
      </c>
      <c r="G523" s="102">
        <v>0.45</v>
      </c>
      <c r="H523" s="103" t="s">
        <v>225</v>
      </c>
      <c r="I523" s="102">
        <v>0.75</v>
      </c>
      <c r="J523" s="103" t="s">
        <v>225</v>
      </c>
      <c r="K523" s="102">
        <f>G523*E523</f>
        <v>0.47250000000000003</v>
      </c>
    </row>
    <row r="524" spans="1:11" ht="15.75">
      <c r="A524" s="145"/>
      <c r="B524" s="70" t="s">
        <v>279</v>
      </c>
      <c r="C524" s="70"/>
      <c r="D524" s="70"/>
      <c r="E524" s="70"/>
      <c r="F524" s="70"/>
      <c r="G524" s="70"/>
      <c r="H524" s="70"/>
      <c r="I524" s="105"/>
      <c r="J524" s="91"/>
      <c r="K524" s="91"/>
    </row>
    <row r="525" spans="1:11" ht="15.75">
      <c r="A525" s="145"/>
      <c r="B525" s="70" t="s">
        <v>181</v>
      </c>
      <c r="C525" s="70">
        <v>1</v>
      </c>
      <c r="D525" s="70">
        <f>E522</f>
        <v>2.1</v>
      </c>
      <c r="E525" s="70">
        <f>G522</f>
        <v>0.9</v>
      </c>
      <c r="F525" s="106">
        <f>C525*D525*E525</f>
        <v>1.8900000000000001</v>
      </c>
      <c r="G525" s="70"/>
      <c r="H525" s="70"/>
      <c r="I525" s="77"/>
      <c r="J525" s="91"/>
      <c r="K525" s="74"/>
    </row>
    <row r="526" spans="1:11" ht="15.75">
      <c r="A526" s="145"/>
      <c r="B526" s="70"/>
      <c r="C526" s="70">
        <v>1</v>
      </c>
      <c r="D526" s="70">
        <f>E523</f>
        <v>1.05</v>
      </c>
      <c r="E526" s="70">
        <f>G523</f>
        <v>0.45</v>
      </c>
      <c r="F526" s="106">
        <f>C526*D526*E526</f>
        <v>0.47250000000000003</v>
      </c>
      <c r="G526" s="70"/>
      <c r="H526" s="70"/>
      <c r="I526" s="77"/>
      <c r="J526" s="91"/>
      <c r="K526" s="74"/>
    </row>
    <row r="527" spans="1:11" ht="15.75">
      <c r="A527" s="145"/>
      <c r="B527" s="70"/>
      <c r="C527" s="70"/>
      <c r="D527" s="70"/>
      <c r="E527" s="70"/>
      <c r="F527" s="106">
        <f>SUM(F525:F526)</f>
        <v>2.3625000000000003</v>
      </c>
      <c r="G527" s="74">
        <v>5</v>
      </c>
      <c r="H527" s="107">
        <f>F527*G527%</f>
        <v>0.11812500000000002</v>
      </c>
      <c r="I527" s="96">
        <f>F527+H527</f>
        <v>2.4806250000000003</v>
      </c>
      <c r="J527" s="91">
        <f>$D$11</f>
        <v>1325</v>
      </c>
      <c r="K527" s="91">
        <f>+J527*I527</f>
        <v>3286.8281250000005</v>
      </c>
    </row>
    <row r="528" spans="1:11" ht="15.75">
      <c r="A528" s="145"/>
      <c r="B528" s="139" t="s">
        <v>97</v>
      </c>
      <c r="C528" s="70"/>
      <c r="D528" s="70"/>
      <c r="E528" s="70"/>
      <c r="F528" s="70"/>
      <c r="G528" s="70"/>
      <c r="H528" s="107"/>
      <c r="I528" s="105"/>
      <c r="J528" s="91"/>
      <c r="K528" s="91"/>
    </row>
    <row r="529" spans="1:11" ht="15.75">
      <c r="A529" s="145"/>
      <c r="B529" s="70" t="s">
        <v>280</v>
      </c>
      <c r="C529" s="70">
        <v>2</v>
      </c>
      <c r="D529" s="70">
        <f>E522</f>
        <v>2.1</v>
      </c>
      <c r="E529" s="70">
        <v>0.075</v>
      </c>
      <c r="F529" s="106">
        <f>C529*D529*E529</f>
        <v>0.315</v>
      </c>
      <c r="G529" s="70"/>
      <c r="H529" s="107"/>
      <c r="I529" s="77"/>
      <c r="J529" s="91"/>
      <c r="K529" s="74"/>
    </row>
    <row r="530" spans="1:11" ht="15.75">
      <c r="A530" s="145"/>
      <c r="B530" s="70"/>
      <c r="C530" s="70">
        <v>1</v>
      </c>
      <c r="D530" s="70">
        <f>E523</f>
        <v>1.05</v>
      </c>
      <c r="E530" s="70">
        <v>0.075</v>
      </c>
      <c r="F530" s="106">
        <f>C530*D530*E530</f>
        <v>0.07875</v>
      </c>
      <c r="G530" s="70"/>
      <c r="H530" s="107"/>
      <c r="I530" s="77"/>
      <c r="J530" s="91"/>
      <c r="K530" s="74"/>
    </row>
    <row r="531" spans="1:11" ht="15.75">
      <c r="A531" s="145"/>
      <c r="B531" s="70" t="s">
        <v>281</v>
      </c>
      <c r="C531" s="70">
        <v>1</v>
      </c>
      <c r="D531" s="70">
        <f>E522</f>
        <v>2.1</v>
      </c>
      <c r="E531" s="70">
        <v>0.5</v>
      </c>
      <c r="F531" s="106">
        <f aca="true" t="shared" si="23" ref="F531:F538">C531*D531*E531</f>
        <v>1.05</v>
      </c>
      <c r="G531" s="70"/>
      <c r="H531" s="107"/>
      <c r="I531" s="77"/>
      <c r="J531" s="91"/>
      <c r="K531" s="74"/>
    </row>
    <row r="532" spans="1:11" ht="15.75">
      <c r="A532" s="145"/>
      <c r="B532" s="70" t="s">
        <v>200</v>
      </c>
      <c r="C532" s="70">
        <v>1</v>
      </c>
      <c r="D532" s="70">
        <f>G522</f>
        <v>0.9</v>
      </c>
      <c r="E532" s="70">
        <f>I522</f>
        <v>0.75</v>
      </c>
      <c r="F532" s="106">
        <f t="shared" si="23"/>
        <v>0.675</v>
      </c>
      <c r="G532" s="70"/>
      <c r="H532" s="107"/>
      <c r="I532" s="77"/>
      <c r="J532" s="91"/>
      <c r="K532" s="74"/>
    </row>
    <row r="533" spans="1:11" ht="15.75">
      <c r="A533" s="145"/>
      <c r="B533" s="70"/>
      <c r="C533" s="70">
        <v>1</v>
      </c>
      <c r="D533" s="70">
        <f>G522</f>
        <v>0.9</v>
      </c>
      <c r="E533" s="70">
        <v>0.5</v>
      </c>
      <c r="F533" s="106">
        <f>C533*D533*E533</f>
        <v>0.45</v>
      </c>
      <c r="G533" s="70"/>
      <c r="H533" s="107"/>
      <c r="I533" s="77"/>
      <c r="J533" s="91"/>
      <c r="K533" s="74"/>
    </row>
    <row r="534" spans="1:11" ht="15.75">
      <c r="A534" s="145"/>
      <c r="B534" s="70" t="s">
        <v>282</v>
      </c>
      <c r="C534" s="70">
        <v>2</v>
      </c>
      <c r="D534" s="70">
        <v>0.15</v>
      </c>
      <c r="E534" s="70">
        <f>I522</f>
        <v>0.75</v>
      </c>
      <c r="F534" s="106">
        <f t="shared" si="23"/>
        <v>0.22499999999999998</v>
      </c>
      <c r="G534" s="70"/>
      <c r="H534" s="107"/>
      <c r="I534" s="77"/>
      <c r="J534" s="91"/>
      <c r="K534" s="74"/>
    </row>
    <row r="535" spans="1:11" ht="15.75">
      <c r="A535" s="145"/>
      <c r="B535" s="70" t="s">
        <v>283</v>
      </c>
      <c r="C535" s="70">
        <v>2</v>
      </c>
      <c r="D535" s="70">
        <v>0.45</v>
      </c>
      <c r="E535" s="70">
        <v>0.051</v>
      </c>
      <c r="F535" s="106">
        <f t="shared" si="23"/>
        <v>0.045899999999999996</v>
      </c>
      <c r="G535" s="70"/>
      <c r="H535" s="107"/>
      <c r="I535" s="77"/>
      <c r="J535" s="91"/>
      <c r="K535" s="74"/>
    </row>
    <row r="536" spans="1:11" ht="15.75">
      <c r="A536" s="145"/>
      <c r="B536" s="70"/>
      <c r="C536" s="70">
        <v>2</v>
      </c>
      <c r="D536" s="70">
        <v>0.075</v>
      </c>
      <c r="E536" s="70">
        <v>0.051</v>
      </c>
      <c r="F536" s="106">
        <f t="shared" si="23"/>
        <v>0.007649999999999999</v>
      </c>
      <c r="G536" s="70"/>
      <c r="H536" s="107"/>
      <c r="I536" s="77"/>
      <c r="J536" s="91"/>
      <c r="K536" s="74"/>
    </row>
    <row r="537" spans="1:11" ht="15.75">
      <c r="A537" s="145"/>
      <c r="B537" s="108" t="s">
        <v>284</v>
      </c>
      <c r="C537" s="70">
        <v>1</v>
      </c>
      <c r="D537" s="70">
        <f>+G522</f>
        <v>0.9</v>
      </c>
      <c r="E537" s="70">
        <v>0.45</v>
      </c>
      <c r="F537" s="106">
        <f t="shared" si="23"/>
        <v>0.405</v>
      </c>
      <c r="G537" s="70"/>
      <c r="H537" s="107"/>
      <c r="I537" s="77"/>
      <c r="J537" s="91"/>
      <c r="K537" s="74"/>
    </row>
    <row r="538" spans="1:11" ht="15.75">
      <c r="A538" s="145"/>
      <c r="B538" s="70"/>
      <c r="C538" s="70">
        <v>2</v>
      </c>
      <c r="D538" s="70">
        <v>0.45</v>
      </c>
      <c r="E538" s="70">
        <v>0.15</v>
      </c>
      <c r="F538" s="106">
        <f t="shared" si="23"/>
        <v>0.135</v>
      </c>
      <c r="G538" s="70"/>
      <c r="H538" s="107"/>
      <c r="I538" s="77"/>
      <c r="J538" s="91"/>
      <c r="K538" s="74"/>
    </row>
    <row r="539" spans="1:11" ht="16.5">
      <c r="A539" s="129"/>
      <c r="B539" s="31" t="s">
        <v>185</v>
      </c>
      <c r="C539" s="24">
        <v>1</v>
      </c>
      <c r="D539" s="24">
        <v>0.45</v>
      </c>
      <c r="E539" s="24">
        <v>0.65</v>
      </c>
      <c r="F539" s="109">
        <f>E539*D539*C539</f>
        <v>0.29250000000000004</v>
      </c>
      <c r="G539" s="24"/>
      <c r="H539" s="24"/>
      <c r="I539" s="45"/>
      <c r="J539" s="46"/>
      <c r="K539" s="22"/>
    </row>
    <row r="540" spans="1:11" ht="16.5">
      <c r="A540" s="129"/>
      <c r="B540" s="31" t="s">
        <v>285</v>
      </c>
      <c r="C540" s="24">
        <v>1</v>
      </c>
      <c r="D540" s="24">
        <v>0.45</v>
      </c>
      <c r="E540" s="24">
        <v>0.65</v>
      </c>
      <c r="F540" s="109">
        <f>E540*D540*C540</f>
        <v>0.29250000000000004</v>
      </c>
      <c r="G540" s="24"/>
      <c r="H540" s="24"/>
      <c r="I540" s="45"/>
      <c r="J540" s="46"/>
      <c r="K540" s="22"/>
    </row>
    <row r="541" spans="1:11" ht="16.5">
      <c r="A541" s="129"/>
      <c r="B541" s="31" t="s">
        <v>186</v>
      </c>
      <c r="C541" s="24">
        <v>2</v>
      </c>
      <c r="D541" s="24">
        <f>E526</f>
        <v>0.45</v>
      </c>
      <c r="E541" s="24">
        <v>0.65</v>
      </c>
      <c r="F541" s="109">
        <f>E541*D541*C541</f>
        <v>0.5850000000000001</v>
      </c>
      <c r="G541" s="24"/>
      <c r="H541" s="24"/>
      <c r="I541" s="45"/>
      <c r="J541" s="46"/>
      <c r="K541" s="22"/>
    </row>
    <row r="542" spans="1:11" ht="16.5">
      <c r="A542" s="129"/>
      <c r="B542" s="31" t="s">
        <v>187</v>
      </c>
      <c r="C542" s="24">
        <v>1</v>
      </c>
      <c r="D542" s="24">
        <v>0.4</v>
      </c>
      <c r="E542" s="28">
        <f>0.65-0.15</f>
        <v>0.5</v>
      </c>
      <c r="F542" s="109">
        <f>E542*D542*C542</f>
        <v>0.2</v>
      </c>
      <c r="G542" s="24"/>
      <c r="H542" s="24"/>
      <c r="I542" s="45"/>
      <c r="J542" s="46"/>
      <c r="K542" s="22"/>
    </row>
    <row r="543" spans="1:11" ht="15.75">
      <c r="A543" s="145"/>
      <c r="B543" s="70"/>
      <c r="C543" s="70"/>
      <c r="D543" s="70"/>
      <c r="E543" s="70"/>
      <c r="F543" s="106">
        <f>SUM(F529:F542)</f>
        <v>4.757300000000001</v>
      </c>
      <c r="G543" s="74">
        <v>5</v>
      </c>
      <c r="H543" s="107">
        <f>F543*G543%</f>
        <v>0.23786500000000005</v>
      </c>
      <c r="I543" s="96">
        <f>F543+H543</f>
        <v>4.995165000000001</v>
      </c>
      <c r="J543" s="91">
        <f>$D$8</f>
        <v>800</v>
      </c>
      <c r="K543" s="91">
        <f>+J543*I543</f>
        <v>3996.132000000001</v>
      </c>
    </row>
    <row r="544" spans="1:11" ht="16.5">
      <c r="A544" s="129"/>
      <c r="B544" s="40" t="s">
        <v>188</v>
      </c>
      <c r="C544" s="24"/>
      <c r="D544" s="24"/>
      <c r="E544" s="24"/>
      <c r="F544" s="28"/>
      <c r="G544" s="30"/>
      <c r="H544" s="42"/>
      <c r="I544" s="43"/>
      <c r="J544" s="44"/>
      <c r="K544" s="44"/>
    </row>
    <row r="545" spans="1:11" ht="16.5">
      <c r="A545" s="129"/>
      <c r="B545" s="31" t="s">
        <v>191</v>
      </c>
      <c r="C545" s="24">
        <v>2</v>
      </c>
      <c r="D545" s="24">
        <v>0.45</v>
      </c>
      <c r="E545" s="24">
        <v>0.65</v>
      </c>
      <c r="F545" s="28">
        <f aca="true" t="shared" si="24" ref="F545:F551">E545*D545*C545</f>
        <v>0.5850000000000001</v>
      </c>
      <c r="G545" s="24"/>
      <c r="H545" s="24"/>
      <c r="I545" s="45"/>
      <c r="J545" s="46"/>
      <c r="K545" s="22"/>
    </row>
    <row r="546" spans="1:11" ht="16.5">
      <c r="A546" s="129"/>
      <c r="B546" s="31" t="s">
        <v>192</v>
      </c>
      <c r="C546" s="24">
        <v>2</v>
      </c>
      <c r="D546" s="24">
        <v>0.45</v>
      </c>
      <c r="E546" s="24">
        <v>0.65</v>
      </c>
      <c r="F546" s="28">
        <f t="shared" si="24"/>
        <v>0.5850000000000001</v>
      </c>
      <c r="G546" s="24"/>
      <c r="H546" s="24"/>
      <c r="I546" s="45"/>
      <c r="J546" s="46"/>
      <c r="K546" s="22"/>
    </row>
    <row r="547" spans="1:11" ht="16.5">
      <c r="A547" s="129"/>
      <c r="B547" s="31" t="s">
        <v>193</v>
      </c>
      <c r="C547" s="24">
        <v>3</v>
      </c>
      <c r="D547" s="24">
        <v>0.45</v>
      </c>
      <c r="E547" s="24">
        <v>0.45</v>
      </c>
      <c r="F547" s="28">
        <f t="shared" si="24"/>
        <v>0.6075</v>
      </c>
      <c r="G547" s="24"/>
      <c r="H547" s="24"/>
      <c r="I547" s="45"/>
      <c r="J547" s="46"/>
      <c r="K547" s="22"/>
    </row>
    <row r="548" spans="1:11" ht="16.5">
      <c r="A548" s="129"/>
      <c r="B548" s="31" t="s">
        <v>194</v>
      </c>
      <c r="C548" s="24">
        <v>2</v>
      </c>
      <c r="D548" s="24">
        <v>0.4</v>
      </c>
      <c r="E548" s="24">
        <v>0.45</v>
      </c>
      <c r="F548" s="28">
        <f t="shared" si="24"/>
        <v>0.36000000000000004</v>
      </c>
      <c r="G548" s="24"/>
      <c r="H548" s="24"/>
      <c r="I548" s="45"/>
      <c r="J548" s="46"/>
      <c r="K548" s="22"/>
    </row>
    <row r="549" spans="1:11" ht="16.5">
      <c r="A549" s="129"/>
      <c r="B549" s="31" t="s">
        <v>286</v>
      </c>
      <c r="C549" s="24">
        <v>1</v>
      </c>
      <c r="D549" s="24">
        <v>0.4</v>
      </c>
      <c r="E549" s="24">
        <v>0.45</v>
      </c>
      <c r="F549" s="28">
        <f t="shared" si="24"/>
        <v>0.18000000000000002</v>
      </c>
      <c r="G549" s="24"/>
      <c r="H549" s="24"/>
      <c r="I549" s="45"/>
      <c r="J549" s="46"/>
      <c r="K549" s="22"/>
    </row>
    <row r="550" spans="1:11" ht="16.5">
      <c r="A550" s="129"/>
      <c r="B550" s="31" t="s">
        <v>200</v>
      </c>
      <c r="C550" s="24">
        <v>2</v>
      </c>
      <c r="D550" s="24">
        <v>0.45</v>
      </c>
      <c r="E550" s="24">
        <v>0.1</v>
      </c>
      <c r="F550" s="28">
        <f t="shared" si="24"/>
        <v>0.09000000000000001</v>
      </c>
      <c r="G550" s="24"/>
      <c r="H550" s="24"/>
      <c r="I550" s="45"/>
      <c r="J550" s="46"/>
      <c r="K550" s="22"/>
    </row>
    <row r="551" spans="1:11" ht="16.5">
      <c r="A551" s="129"/>
      <c r="B551" s="31"/>
      <c r="C551" s="24">
        <v>2</v>
      </c>
      <c r="D551" s="24">
        <v>0.4</v>
      </c>
      <c r="E551" s="24">
        <v>0.1</v>
      </c>
      <c r="F551" s="28">
        <f t="shared" si="24"/>
        <v>0.08000000000000002</v>
      </c>
      <c r="G551" s="24"/>
      <c r="H551" s="24"/>
      <c r="I551" s="45"/>
      <c r="J551" s="46"/>
      <c r="K551" s="22"/>
    </row>
    <row r="552" spans="1:11" ht="16.5">
      <c r="A552" s="129"/>
      <c r="B552" s="31"/>
      <c r="C552" s="24"/>
      <c r="D552" s="24"/>
      <c r="E552" s="24"/>
      <c r="F552" s="28">
        <f>SUM(F545:F551)</f>
        <v>2.4875000000000003</v>
      </c>
      <c r="G552" s="30">
        <v>5</v>
      </c>
      <c r="H552" s="42">
        <f>F552*G552%</f>
        <v>0.12437500000000001</v>
      </c>
      <c r="I552" s="43">
        <f>F552+H552</f>
        <v>2.6118750000000004</v>
      </c>
      <c r="J552" s="44">
        <f>$D$9</f>
        <v>550</v>
      </c>
      <c r="K552" s="44">
        <f>+J552*I552</f>
        <v>1436.5312500000002</v>
      </c>
    </row>
    <row r="553" spans="1:11" ht="16.5">
      <c r="A553" s="145"/>
      <c r="B553" s="140" t="s">
        <v>110</v>
      </c>
      <c r="C553" s="70"/>
      <c r="D553" s="70"/>
      <c r="E553" s="70"/>
      <c r="F553" s="70"/>
      <c r="G553" s="74"/>
      <c r="H553" s="107"/>
      <c r="I553" s="96"/>
      <c r="J553" s="91"/>
      <c r="K553" s="91"/>
    </row>
    <row r="554" spans="1:11" ht="15.75">
      <c r="A554" s="145"/>
      <c r="B554" s="70" t="s">
        <v>181</v>
      </c>
      <c r="C554" s="70">
        <v>1</v>
      </c>
      <c r="D554" s="70">
        <f>E522</f>
        <v>2.1</v>
      </c>
      <c r="E554" s="70">
        <f>G522</f>
        <v>0.9</v>
      </c>
      <c r="F554" s="107">
        <f aca="true" t="shared" si="25" ref="F554:F566">C554*D554*E554</f>
        <v>1.8900000000000001</v>
      </c>
      <c r="G554" s="74"/>
      <c r="H554" s="107"/>
      <c r="I554" s="96"/>
      <c r="J554" s="91"/>
      <c r="K554" s="91"/>
    </row>
    <row r="555" spans="1:11" ht="15.75">
      <c r="A555" s="145"/>
      <c r="B555" s="70"/>
      <c r="C555" s="70">
        <v>1</v>
      </c>
      <c r="D555" s="70">
        <f>E523</f>
        <v>1.05</v>
      </c>
      <c r="E555" s="70">
        <f>G523</f>
        <v>0.45</v>
      </c>
      <c r="F555" s="107">
        <f t="shared" si="25"/>
        <v>0.47250000000000003</v>
      </c>
      <c r="G555" s="74"/>
      <c r="H555" s="107"/>
      <c r="I555" s="96"/>
      <c r="J555" s="91"/>
      <c r="K555" s="91"/>
    </row>
    <row r="556" spans="1:11" ht="15.75">
      <c r="A556" s="145"/>
      <c r="B556" s="70" t="s">
        <v>280</v>
      </c>
      <c r="C556" s="70">
        <v>1</v>
      </c>
      <c r="D556" s="70">
        <f>D554-E555</f>
        <v>1.6500000000000001</v>
      </c>
      <c r="E556" s="70">
        <v>0.05</v>
      </c>
      <c r="F556" s="107">
        <f t="shared" si="25"/>
        <v>0.08250000000000002</v>
      </c>
      <c r="G556" s="74"/>
      <c r="H556" s="107"/>
      <c r="I556" s="96"/>
      <c r="J556" s="91"/>
      <c r="K556" s="91"/>
    </row>
    <row r="557" spans="1:11" ht="15.75">
      <c r="A557" s="145"/>
      <c r="B557" s="70" t="s">
        <v>287</v>
      </c>
      <c r="C557" s="70">
        <v>1</v>
      </c>
      <c r="D557" s="70">
        <f>D554</f>
        <v>2.1</v>
      </c>
      <c r="E557" s="70">
        <v>0.05</v>
      </c>
      <c r="F557" s="107">
        <f t="shared" si="25"/>
        <v>0.10500000000000001</v>
      </c>
      <c r="G557" s="74"/>
      <c r="H557" s="107"/>
      <c r="I557" s="96"/>
      <c r="J557" s="91"/>
      <c r="K557" s="91"/>
    </row>
    <row r="558" spans="1:11" ht="15.75">
      <c r="A558" s="145"/>
      <c r="B558" s="70"/>
      <c r="C558" s="70">
        <v>1</v>
      </c>
      <c r="D558" s="70">
        <f>D555</f>
        <v>1.05</v>
      </c>
      <c r="E558" s="70">
        <v>0.05</v>
      </c>
      <c r="F558" s="107">
        <f t="shared" si="25"/>
        <v>0.052500000000000005</v>
      </c>
      <c r="G558" s="74"/>
      <c r="H558" s="107"/>
      <c r="I558" s="96"/>
      <c r="J558" s="91"/>
      <c r="K558" s="91"/>
    </row>
    <row r="559" spans="1:11" ht="15.75">
      <c r="A559" s="145"/>
      <c r="B559" s="70" t="s">
        <v>259</v>
      </c>
      <c r="C559" s="70">
        <v>1</v>
      </c>
      <c r="D559" s="70">
        <f>G522</f>
        <v>0.9</v>
      </c>
      <c r="E559" s="70">
        <f>I522</f>
        <v>0.75</v>
      </c>
      <c r="F559" s="70">
        <f t="shared" si="25"/>
        <v>0.675</v>
      </c>
      <c r="G559" s="74"/>
      <c r="H559" s="107"/>
      <c r="I559" s="96"/>
      <c r="J559" s="91"/>
      <c r="K559" s="91"/>
    </row>
    <row r="560" spans="1:11" ht="15.75">
      <c r="A560" s="145"/>
      <c r="B560" s="70"/>
      <c r="C560" s="70">
        <v>1</v>
      </c>
      <c r="D560" s="70">
        <v>0.75</v>
      </c>
      <c r="E560" s="70">
        <v>0.15</v>
      </c>
      <c r="F560" s="70">
        <f>C560*D560*E560</f>
        <v>0.11249999999999999</v>
      </c>
      <c r="G560" s="74"/>
      <c r="H560" s="107"/>
      <c r="I560" s="96"/>
      <c r="J560" s="91"/>
      <c r="K560" s="91"/>
    </row>
    <row r="561" spans="1:11" ht="15.75">
      <c r="A561" s="145"/>
      <c r="B561" s="70" t="s">
        <v>288</v>
      </c>
      <c r="C561" s="70">
        <v>1</v>
      </c>
      <c r="D561" s="70">
        <v>0.75</v>
      </c>
      <c r="E561" s="70">
        <v>0.05</v>
      </c>
      <c r="F561" s="70">
        <f>C561*D561*E561</f>
        <v>0.037500000000000006</v>
      </c>
      <c r="G561" s="74"/>
      <c r="H561" s="107"/>
      <c r="I561" s="96"/>
      <c r="J561" s="91"/>
      <c r="K561" s="91"/>
    </row>
    <row r="562" spans="1:11" ht="15.75">
      <c r="A562" s="145"/>
      <c r="B562" s="108" t="s">
        <v>289</v>
      </c>
      <c r="C562" s="70"/>
      <c r="D562" s="70"/>
      <c r="E562" s="70"/>
      <c r="F562" s="70"/>
      <c r="G562" s="74"/>
      <c r="H562" s="107"/>
      <c r="I562" s="96"/>
      <c r="J562" s="91"/>
      <c r="K562" s="91"/>
    </row>
    <row r="563" spans="1:11" ht="15.75">
      <c r="A563" s="145"/>
      <c r="B563" s="70" t="s">
        <v>258</v>
      </c>
      <c r="C563" s="70">
        <v>1</v>
      </c>
      <c r="D563" s="70">
        <f>D559</f>
        <v>0.9</v>
      </c>
      <c r="E563" s="70">
        <f>0.45</f>
        <v>0.45</v>
      </c>
      <c r="F563" s="70">
        <f t="shared" si="25"/>
        <v>0.405</v>
      </c>
      <c r="G563" s="70"/>
      <c r="H563" s="76"/>
      <c r="I563" s="77"/>
      <c r="J563" s="91"/>
      <c r="K563" s="74"/>
    </row>
    <row r="564" spans="1:11" ht="15.75">
      <c r="A564" s="145"/>
      <c r="B564" s="70"/>
      <c r="C564" s="70">
        <v>2</v>
      </c>
      <c r="D564" s="70">
        <v>0.45</v>
      </c>
      <c r="E564" s="70">
        <v>0.15</v>
      </c>
      <c r="F564" s="70">
        <f t="shared" si="25"/>
        <v>0.135</v>
      </c>
      <c r="G564" s="70"/>
      <c r="H564" s="76"/>
      <c r="I564" s="77"/>
      <c r="J564" s="91"/>
      <c r="K564" s="74"/>
    </row>
    <row r="565" spans="1:11" ht="15.75">
      <c r="A565" s="145"/>
      <c r="B565" s="70" t="s">
        <v>290</v>
      </c>
      <c r="C565" s="70">
        <v>2</v>
      </c>
      <c r="D565" s="70">
        <v>0.45</v>
      </c>
      <c r="E565" s="70">
        <v>0.05</v>
      </c>
      <c r="F565" s="70">
        <f t="shared" si="25"/>
        <v>0.045000000000000005</v>
      </c>
      <c r="G565" s="70"/>
      <c r="H565" s="70"/>
      <c r="I565" s="77" t="s">
        <v>180</v>
      </c>
      <c r="J565" s="91"/>
      <c r="K565" s="74"/>
    </row>
    <row r="566" spans="1:11" ht="15.75">
      <c r="A566" s="145"/>
      <c r="B566" s="70" t="s">
        <v>200</v>
      </c>
      <c r="C566" s="70">
        <v>2</v>
      </c>
      <c r="D566" s="70">
        <v>0.15</v>
      </c>
      <c r="E566" s="70">
        <v>0.05</v>
      </c>
      <c r="F566" s="70">
        <f t="shared" si="25"/>
        <v>0.015</v>
      </c>
      <c r="G566" s="70"/>
      <c r="H566" s="107"/>
      <c r="I566" s="77"/>
      <c r="J566" s="91"/>
      <c r="K566" s="74"/>
    </row>
    <row r="567" spans="1:11" ht="15.75">
      <c r="A567" s="145"/>
      <c r="B567" s="76"/>
      <c r="C567" s="70"/>
      <c r="D567" s="76"/>
      <c r="E567" s="76"/>
      <c r="F567" s="70">
        <f>SUM(F554:F566)</f>
        <v>4.0275</v>
      </c>
      <c r="G567" s="74">
        <v>5</v>
      </c>
      <c r="H567" s="70">
        <f>F567*G567%</f>
        <v>0.201375</v>
      </c>
      <c r="I567" s="96">
        <f>F567+H567</f>
        <v>4.2288749999999995</v>
      </c>
      <c r="J567" s="91">
        <f>$D$20</f>
        <v>6300</v>
      </c>
      <c r="K567" s="91">
        <f>+J567*I567</f>
        <v>26641.9125</v>
      </c>
    </row>
    <row r="568" spans="1:11" ht="16.5">
      <c r="A568" s="130"/>
      <c r="B568" s="140" t="s">
        <v>104</v>
      </c>
      <c r="C568" s="24"/>
      <c r="D568" s="24"/>
      <c r="E568" s="24"/>
      <c r="F568" s="24"/>
      <c r="G568" s="24"/>
      <c r="H568" s="28"/>
      <c r="I568" s="90"/>
      <c r="J568" s="15"/>
      <c r="K568" s="15"/>
    </row>
    <row r="569" spans="1:11" ht="15.75">
      <c r="A569" s="130"/>
      <c r="B569" s="24" t="s">
        <v>264</v>
      </c>
      <c r="C569" s="24">
        <v>1</v>
      </c>
      <c r="D569" s="45">
        <v>0.4</v>
      </c>
      <c r="E569" s="28">
        <v>0.65</v>
      </c>
      <c r="F569" s="24">
        <f>C569*D569*E569</f>
        <v>0.26</v>
      </c>
      <c r="G569" s="24"/>
      <c r="H569" s="28"/>
      <c r="I569" s="14"/>
      <c r="J569" s="15"/>
      <c r="K569" s="13"/>
    </row>
    <row r="570" spans="1:11" ht="15.75">
      <c r="A570" s="130"/>
      <c r="B570" s="24" t="s">
        <v>200</v>
      </c>
      <c r="C570" s="24">
        <v>1</v>
      </c>
      <c r="D570" s="28">
        <v>0.45</v>
      </c>
      <c r="E570" s="28">
        <v>0.65</v>
      </c>
      <c r="F570" s="28">
        <f>C570*D570*E570</f>
        <v>0.29250000000000004</v>
      </c>
      <c r="G570" s="24"/>
      <c r="H570" s="28"/>
      <c r="I570" s="14"/>
      <c r="J570" s="15"/>
      <c r="K570" s="13"/>
    </row>
    <row r="571" spans="1:11" ht="15.75">
      <c r="A571" s="130"/>
      <c r="B571" s="24" t="s">
        <v>291</v>
      </c>
      <c r="C571" s="24">
        <v>1</v>
      </c>
      <c r="D571" s="28">
        <v>0.45</v>
      </c>
      <c r="E571" s="28">
        <v>0.65</v>
      </c>
      <c r="F571" s="28">
        <f>C571*D571*E571</f>
        <v>0.29250000000000004</v>
      </c>
      <c r="G571" s="24"/>
      <c r="H571" s="28"/>
      <c r="I571" s="14"/>
      <c r="J571" s="15"/>
      <c r="K571" s="13"/>
    </row>
    <row r="572" spans="1:11" ht="15.75">
      <c r="A572" s="130"/>
      <c r="B572" s="24" t="s">
        <v>200</v>
      </c>
      <c r="C572" s="24">
        <v>1</v>
      </c>
      <c r="D572" s="28">
        <v>0.45</v>
      </c>
      <c r="E572" s="28">
        <v>0.65</v>
      </c>
      <c r="F572" s="28">
        <f>C572*D572*E572</f>
        <v>0.29250000000000004</v>
      </c>
      <c r="G572" s="24"/>
      <c r="H572" s="28"/>
      <c r="I572" s="14"/>
      <c r="J572" s="15"/>
      <c r="K572" s="13"/>
    </row>
    <row r="573" spans="1:11" ht="15.75">
      <c r="A573" s="130"/>
      <c r="B573" s="24"/>
      <c r="C573" s="24"/>
      <c r="D573" s="24"/>
      <c r="E573" s="24"/>
      <c r="F573" s="28">
        <f>SUM(F569:F572)</f>
        <v>1.1375</v>
      </c>
      <c r="G573" s="13">
        <v>5</v>
      </c>
      <c r="H573" s="28">
        <f>F573*G573%</f>
        <v>0.056875</v>
      </c>
      <c r="I573" s="53">
        <f>F573+H573</f>
        <v>1.194375</v>
      </c>
      <c r="J573" s="91">
        <f>$D$15</f>
        <v>550</v>
      </c>
      <c r="K573" s="15">
        <f>+J573*I573</f>
        <v>656.90625</v>
      </c>
    </row>
    <row r="574" spans="1:11" ht="16.5">
      <c r="A574" s="145"/>
      <c r="B574" s="102" t="s">
        <v>265</v>
      </c>
      <c r="C574" s="70"/>
      <c r="D574" s="70"/>
      <c r="E574" s="70"/>
      <c r="F574" s="70"/>
      <c r="G574" s="70"/>
      <c r="H574" s="70"/>
      <c r="I574" s="105"/>
      <c r="J574" s="91"/>
      <c r="K574" s="91"/>
    </row>
    <row r="575" spans="1:11" ht="15.75">
      <c r="A575" s="145"/>
      <c r="B575" s="70" t="s">
        <v>291</v>
      </c>
      <c r="C575" s="70"/>
      <c r="D575" s="70"/>
      <c r="E575" s="70"/>
      <c r="F575" s="70"/>
      <c r="G575" s="70"/>
      <c r="H575" s="70"/>
      <c r="I575" s="105"/>
      <c r="J575" s="91"/>
      <c r="K575" s="91"/>
    </row>
    <row r="576" spans="1:11" ht="15.75">
      <c r="A576" s="145"/>
      <c r="B576" s="70" t="s">
        <v>292</v>
      </c>
      <c r="C576" s="70">
        <v>4</v>
      </c>
      <c r="D576" s="70">
        <v>0.45</v>
      </c>
      <c r="E576" s="70">
        <v>0.65</v>
      </c>
      <c r="F576" s="107">
        <f>C576*D576*E576</f>
        <v>1.1700000000000002</v>
      </c>
      <c r="G576" s="70"/>
      <c r="H576" s="70"/>
      <c r="I576" s="105"/>
      <c r="J576" s="91"/>
      <c r="K576" s="91"/>
    </row>
    <row r="577" spans="1:11" ht="15.75">
      <c r="A577" s="145"/>
      <c r="B577" s="70" t="s">
        <v>193</v>
      </c>
      <c r="C577" s="70">
        <v>3</v>
      </c>
      <c r="D577" s="70">
        <v>0.45</v>
      </c>
      <c r="E577" s="70">
        <v>0.45</v>
      </c>
      <c r="F577" s="107">
        <f>C577*D577*E577</f>
        <v>0.6075</v>
      </c>
      <c r="G577" s="70"/>
      <c r="H577" s="70"/>
      <c r="I577" s="105"/>
      <c r="J577" s="91"/>
      <c r="K577" s="91"/>
    </row>
    <row r="578" spans="1:11" ht="15.75">
      <c r="A578" s="145"/>
      <c r="B578" s="70" t="s">
        <v>293</v>
      </c>
      <c r="C578" s="70"/>
      <c r="D578" s="70"/>
      <c r="E578" s="70"/>
      <c r="F578" s="107"/>
      <c r="G578" s="70"/>
      <c r="H578" s="70"/>
      <c r="I578" s="105"/>
      <c r="J578" s="91"/>
      <c r="K578" s="91"/>
    </row>
    <row r="579" spans="1:11" ht="15.75">
      <c r="A579" s="145"/>
      <c r="B579" s="70" t="s">
        <v>192</v>
      </c>
      <c r="C579" s="70">
        <v>2</v>
      </c>
      <c r="D579" s="70">
        <v>0.4</v>
      </c>
      <c r="E579" s="70">
        <v>0.65</v>
      </c>
      <c r="F579" s="107">
        <f aca="true" t="shared" si="26" ref="F579:F585">C579*D579*E579</f>
        <v>0.52</v>
      </c>
      <c r="G579" s="70"/>
      <c r="H579" s="70"/>
      <c r="I579" s="105"/>
      <c r="J579" s="91"/>
      <c r="K579" s="91"/>
    </row>
    <row r="580" spans="1:11" ht="15.75">
      <c r="A580" s="145"/>
      <c r="B580" s="70" t="s">
        <v>200</v>
      </c>
      <c r="C580" s="70">
        <v>2</v>
      </c>
      <c r="D580" s="70">
        <v>0.45</v>
      </c>
      <c r="E580" s="70">
        <v>0.65</v>
      </c>
      <c r="F580" s="107">
        <f t="shared" si="26"/>
        <v>0.5850000000000001</v>
      </c>
      <c r="G580" s="70"/>
      <c r="H580" s="70"/>
      <c r="I580" s="105"/>
      <c r="J580" s="91"/>
      <c r="K580" s="91"/>
    </row>
    <row r="581" spans="1:11" ht="15.75">
      <c r="A581" s="145"/>
      <c r="B581" s="70" t="s">
        <v>193</v>
      </c>
      <c r="C581" s="70">
        <v>2</v>
      </c>
      <c r="D581" s="70">
        <v>0.45</v>
      </c>
      <c r="E581" s="70">
        <v>0.4</v>
      </c>
      <c r="F581" s="107">
        <f t="shared" si="26"/>
        <v>0.36000000000000004</v>
      </c>
      <c r="G581" s="70"/>
      <c r="H581" s="70"/>
      <c r="I581" s="105"/>
      <c r="J581" s="91"/>
      <c r="K581" s="91"/>
    </row>
    <row r="582" spans="1:11" ht="15.75">
      <c r="A582" s="145"/>
      <c r="B582" s="70" t="s">
        <v>197</v>
      </c>
      <c r="C582" s="70">
        <v>1</v>
      </c>
      <c r="D582" s="70">
        <f>E522</f>
        <v>2.1</v>
      </c>
      <c r="E582" s="70">
        <v>0.5</v>
      </c>
      <c r="F582" s="107">
        <f t="shared" si="26"/>
        <v>1.05</v>
      </c>
      <c r="G582" s="70"/>
      <c r="H582" s="70"/>
      <c r="I582" s="105"/>
      <c r="J582" s="91"/>
      <c r="K582" s="91"/>
    </row>
    <row r="583" spans="1:11" ht="15.75">
      <c r="A583" s="145"/>
      <c r="B583" s="70" t="s">
        <v>200</v>
      </c>
      <c r="C583" s="70">
        <v>1</v>
      </c>
      <c r="D583" s="70">
        <f>1.95-0.4</f>
        <v>1.5499999999999998</v>
      </c>
      <c r="E583" s="70">
        <v>0.65</v>
      </c>
      <c r="F583" s="107">
        <f t="shared" si="26"/>
        <v>1.0074999999999998</v>
      </c>
      <c r="G583" s="70"/>
      <c r="H583" s="70"/>
      <c r="I583" s="105"/>
      <c r="J583" s="91"/>
      <c r="K583" s="91"/>
    </row>
    <row r="584" spans="1:11" ht="15.75">
      <c r="A584" s="145"/>
      <c r="B584" s="70" t="s">
        <v>210</v>
      </c>
      <c r="C584" s="70">
        <v>1</v>
      </c>
      <c r="D584" s="70">
        <v>0.45</v>
      </c>
      <c r="E584" s="70">
        <v>0.65</v>
      </c>
      <c r="F584" s="107">
        <f t="shared" si="26"/>
        <v>0.29250000000000004</v>
      </c>
      <c r="G584" s="70"/>
      <c r="H584" s="70"/>
      <c r="I584" s="105"/>
      <c r="J584" s="91"/>
      <c r="K584" s="91"/>
    </row>
    <row r="585" spans="1:11" ht="15.75">
      <c r="A585" s="145"/>
      <c r="B585" s="70"/>
      <c r="C585" s="70">
        <v>1</v>
      </c>
      <c r="D585" s="70">
        <f>0.9-0.15-0.45</f>
        <v>0.3</v>
      </c>
      <c r="E585" s="70">
        <v>0.65</v>
      </c>
      <c r="F585" s="107">
        <f t="shared" si="26"/>
        <v>0.195</v>
      </c>
      <c r="G585" s="70"/>
      <c r="H585" s="70"/>
      <c r="I585" s="105"/>
      <c r="J585" s="91"/>
      <c r="K585" s="91"/>
    </row>
    <row r="586" spans="1:11" ht="15.75">
      <c r="A586" s="145"/>
      <c r="B586" s="70"/>
      <c r="C586" s="70"/>
      <c r="D586" s="70"/>
      <c r="E586" s="70"/>
      <c r="F586" s="107">
        <f>SUM(F575:F585)</f>
        <v>5.787500000000001</v>
      </c>
      <c r="G586" s="74"/>
      <c r="H586" s="70"/>
      <c r="I586" s="96">
        <f>F586</f>
        <v>5.787500000000001</v>
      </c>
      <c r="J586" s="91">
        <f>$D$28</f>
        <v>120</v>
      </c>
      <c r="K586" s="91">
        <f>+J586*I586</f>
        <v>694.5000000000002</v>
      </c>
    </row>
    <row r="587" spans="1:11" ht="16.5">
      <c r="A587" s="145"/>
      <c r="B587" s="102" t="s">
        <v>271</v>
      </c>
      <c r="C587" s="70">
        <v>1</v>
      </c>
      <c r="D587" s="110">
        <f>F573</f>
        <v>1.1375</v>
      </c>
      <c r="E587" s="70">
        <v>3</v>
      </c>
      <c r="F587" s="70">
        <f>C587*D587/E587</f>
        <v>0.37916666666666665</v>
      </c>
      <c r="G587" s="70"/>
      <c r="H587" s="70"/>
      <c r="I587" s="105">
        <f>F587</f>
        <v>0.37916666666666665</v>
      </c>
      <c r="J587" s="91">
        <f>$D$27</f>
        <v>225</v>
      </c>
      <c r="K587" s="91">
        <f>+J587*I587</f>
        <v>85.3125</v>
      </c>
    </row>
    <row r="588" spans="1:11" ht="16.5">
      <c r="A588" s="130"/>
      <c r="B588" s="25" t="s">
        <v>269</v>
      </c>
      <c r="C588" s="24"/>
      <c r="D588" s="45"/>
      <c r="E588" s="24"/>
      <c r="F588" s="45"/>
      <c r="G588" s="13"/>
      <c r="H588" s="24"/>
      <c r="I588" s="53"/>
      <c r="J588" s="91"/>
      <c r="K588" s="15"/>
    </row>
    <row r="589" spans="1:11" ht="15.75">
      <c r="A589" s="130"/>
      <c r="B589" s="24" t="s">
        <v>294</v>
      </c>
      <c r="C589" s="24">
        <v>2</v>
      </c>
      <c r="D589" s="28">
        <v>0.65</v>
      </c>
      <c r="E589" s="24"/>
      <c r="F589" s="45">
        <f>D589*C589</f>
        <v>1.3</v>
      </c>
      <c r="G589" s="13"/>
      <c r="H589" s="24"/>
      <c r="I589" s="53"/>
      <c r="J589" s="91"/>
      <c r="K589" s="15"/>
    </row>
    <row r="590" spans="1:11" ht="15.75">
      <c r="A590" s="130"/>
      <c r="B590" s="24" t="s">
        <v>295</v>
      </c>
      <c r="C590" s="24">
        <v>2</v>
      </c>
      <c r="D590" s="28">
        <v>0.65</v>
      </c>
      <c r="E590" s="24"/>
      <c r="F590" s="45">
        <f>D590*C590</f>
        <v>1.3</v>
      </c>
      <c r="G590" s="13"/>
      <c r="H590" s="24"/>
      <c r="I590" s="53"/>
      <c r="J590" s="91"/>
      <c r="K590" s="15"/>
    </row>
    <row r="591" spans="1:11" ht="15.75">
      <c r="A591" s="130"/>
      <c r="B591" s="24" t="s">
        <v>208</v>
      </c>
      <c r="C591" s="24">
        <v>2</v>
      </c>
      <c r="D591" s="28">
        <v>0.65</v>
      </c>
      <c r="E591" s="24"/>
      <c r="F591" s="45">
        <f>D591*C591</f>
        <v>1.3</v>
      </c>
      <c r="G591" s="13"/>
      <c r="H591" s="24"/>
      <c r="I591" s="53"/>
      <c r="J591" s="91"/>
      <c r="K591" s="15"/>
    </row>
    <row r="592" spans="1:11" ht="15.75">
      <c r="A592" s="130"/>
      <c r="B592" s="24"/>
      <c r="C592" s="24">
        <v>2</v>
      </c>
      <c r="D592" s="28">
        <v>0.4</v>
      </c>
      <c r="E592" s="24"/>
      <c r="F592" s="45">
        <f>D592*C592</f>
        <v>0.8</v>
      </c>
      <c r="G592" s="13"/>
      <c r="H592" s="24"/>
      <c r="I592" s="53"/>
      <c r="J592" s="91"/>
      <c r="K592" s="15"/>
    </row>
    <row r="593" spans="1:11" ht="15.75">
      <c r="A593" s="130"/>
      <c r="B593" s="24"/>
      <c r="C593" s="24"/>
      <c r="D593" s="45"/>
      <c r="E593" s="24"/>
      <c r="F593" s="45">
        <f>SUM(F589:F592)</f>
        <v>4.7</v>
      </c>
      <c r="G593" s="13"/>
      <c r="H593" s="24"/>
      <c r="I593" s="53">
        <f>F593+H593</f>
        <v>4.7</v>
      </c>
      <c r="J593" s="91">
        <f>$I$117</f>
        <v>12</v>
      </c>
      <c r="K593" s="15">
        <f>+J593*I593</f>
        <v>56.400000000000006</v>
      </c>
    </row>
    <row r="594" spans="1:11" ht="16.5">
      <c r="A594" s="130"/>
      <c r="B594" s="25" t="s">
        <v>270</v>
      </c>
      <c r="C594" s="24"/>
      <c r="D594" s="45"/>
      <c r="E594" s="24"/>
      <c r="F594" s="45"/>
      <c r="G594" s="13"/>
      <c r="H594" s="24"/>
      <c r="I594" s="53"/>
      <c r="J594" s="91"/>
      <c r="K594" s="15"/>
    </row>
    <row r="595" spans="1:11" ht="15.75">
      <c r="A595" s="130"/>
      <c r="B595" s="24" t="s">
        <v>291</v>
      </c>
      <c r="C595" s="24">
        <f>3*4</f>
        <v>12</v>
      </c>
      <c r="D595" s="28">
        <v>0.45</v>
      </c>
      <c r="E595" s="24"/>
      <c r="F595" s="45">
        <f>D595*C595</f>
        <v>5.4</v>
      </c>
      <c r="G595" s="13"/>
      <c r="H595" s="24"/>
      <c r="I595" s="53"/>
      <c r="J595" s="91"/>
      <c r="K595" s="15"/>
    </row>
    <row r="596" spans="1:11" ht="15.75">
      <c r="A596" s="130"/>
      <c r="B596" s="24" t="s">
        <v>286</v>
      </c>
      <c r="C596" s="24">
        <v>2</v>
      </c>
      <c r="D596" s="28">
        <v>0.45</v>
      </c>
      <c r="E596" s="24"/>
      <c r="F596" s="45">
        <f>D596*C596</f>
        <v>0.9</v>
      </c>
      <c r="G596" s="13"/>
      <c r="H596" s="24"/>
      <c r="I596" s="53"/>
      <c r="J596" s="91"/>
      <c r="K596" s="15"/>
    </row>
    <row r="597" spans="1:11" ht="15.75">
      <c r="A597" s="130"/>
      <c r="B597" s="24"/>
      <c r="C597" s="24">
        <v>2</v>
      </c>
      <c r="D597" s="28">
        <v>0.4</v>
      </c>
      <c r="E597" s="24"/>
      <c r="F597" s="45">
        <f>D597*C597</f>
        <v>0.8</v>
      </c>
      <c r="G597" s="13"/>
      <c r="H597" s="24"/>
      <c r="I597" s="53"/>
      <c r="J597" s="91"/>
      <c r="K597" s="15"/>
    </row>
    <row r="598" spans="1:11" ht="16.5">
      <c r="A598" s="130"/>
      <c r="B598" s="140"/>
      <c r="C598" s="24"/>
      <c r="D598" s="45"/>
      <c r="E598" s="24"/>
      <c r="F598" s="45">
        <f>SUM(F595:F597)</f>
        <v>7.1000000000000005</v>
      </c>
      <c r="G598" s="13"/>
      <c r="H598" s="24"/>
      <c r="I598" s="53">
        <f>F598+H598</f>
        <v>7.1000000000000005</v>
      </c>
      <c r="J598" s="91">
        <f>$I$125</f>
        <v>9</v>
      </c>
      <c r="K598" s="15">
        <f>+J598*I598</f>
        <v>63.900000000000006</v>
      </c>
    </row>
    <row r="599" spans="1:11" ht="16.5">
      <c r="A599" s="130"/>
      <c r="B599" s="140" t="s">
        <v>115</v>
      </c>
      <c r="C599" s="24">
        <v>1</v>
      </c>
      <c r="D599" s="109">
        <f>E522-(0.048+0.048)</f>
        <v>2.004</v>
      </c>
      <c r="E599" s="70">
        <v>0.5</v>
      </c>
      <c r="F599" s="107">
        <f>C599*D599*E599</f>
        <v>1.002</v>
      </c>
      <c r="G599" s="13"/>
      <c r="H599" s="24"/>
      <c r="I599" s="53">
        <f>F599+H599</f>
        <v>1.002</v>
      </c>
      <c r="J599" s="91">
        <f>$D$25</f>
        <v>3650</v>
      </c>
      <c r="K599" s="15">
        <f>+J599*I599</f>
        <v>3657.3</v>
      </c>
    </row>
    <row r="600" spans="1:11" ht="16.5">
      <c r="A600" s="129"/>
      <c r="B600" s="40" t="s">
        <v>214</v>
      </c>
      <c r="C600" s="24"/>
      <c r="D600" s="24"/>
      <c r="E600" s="24"/>
      <c r="F600" s="24"/>
      <c r="G600" s="24"/>
      <c r="H600" s="24"/>
      <c r="I600" s="45"/>
      <c r="J600" s="46"/>
      <c r="K600" s="22"/>
    </row>
    <row r="601" spans="1:11" ht="16.5">
      <c r="A601" s="129"/>
      <c r="B601" s="31" t="s">
        <v>215</v>
      </c>
      <c r="C601" s="24">
        <v>1</v>
      </c>
      <c r="D601" s="24"/>
      <c r="E601" s="24"/>
      <c r="F601" s="28">
        <f>C601</f>
        <v>1</v>
      </c>
      <c r="G601" s="24"/>
      <c r="H601" s="42">
        <f>F601*G601%</f>
        <v>0</v>
      </c>
      <c r="I601" s="49">
        <f>F601+H601</f>
        <v>1</v>
      </c>
      <c r="J601" s="46">
        <f>$D$36</f>
        <v>250</v>
      </c>
      <c r="K601" s="44">
        <f>+J601*I601</f>
        <v>250</v>
      </c>
    </row>
    <row r="602" spans="1:11" ht="16.5">
      <c r="A602" s="129"/>
      <c r="B602" s="31" t="s">
        <v>216</v>
      </c>
      <c r="C602" s="24">
        <v>1</v>
      </c>
      <c r="D602" s="24"/>
      <c r="E602" s="24"/>
      <c r="F602" s="28">
        <f>C602</f>
        <v>1</v>
      </c>
      <c r="G602" s="24"/>
      <c r="H602" s="42">
        <f>F602*G602%</f>
        <v>0</v>
      </c>
      <c r="I602" s="49">
        <f>F602+H602</f>
        <v>1</v>
      </c>
      <c r="J602" s="46">
        <f>$D$32</f>
        <v>1000</v>
      </c>
      <c r="K602" s="44">
        <f>+J602*I602</f>
        <v>1000</v>
      </c>
    </row>
    <row r="603" spans="1:11" ht="16.5">
      <c r="A603" s="129"/>
      <c r="B603" s="31" t="s">
        <v>217</v>
      </c>
      <c r="C603" s="24">
        <v>1</v>
      </c>
      <c r="D603" s="24"/>
      <c r="E603" s="24"/>
      <c r="F603" s="28">
        <f>C603</f>
        <v>1</v>
      </c>
      <c r="G603" s="24"/>
      <c r="H603" s="42">
        <f>F603*G603%</f>
        <v>0</v>
      </c>
      <c r="I603" s="49">
        <f>F603+H603</f>
        <v>1</v>
      </c>
      <c r="J603" s="46">
        <f>$D$34</f>
        <v>1100</v>
      </c>
      <c r="K603" s="44">
        <f>+J603*I603</f>
        <v>1100</v>
      </c>
    </row>
    <row r="604" spans="1:11" ht="16.5">
      <c r="A604" s="129"/>
      <c r="B604" s="31" t="s">
        <v>218</v>
      </c>
      <c r="C604" s="24">
        <v>4</v>
      </c>
      <c r="D604" s="24"/>
      <c r="E604" s="24"/>
      <c r="F604" s="28">
        <f>C604</f>
        <v>4</v>
      </c>
      <c r="G604" s="24"/>
      <c r="H604" s="42">
        <f>F604*G604%</f>
        <v>0</v>
      </c>
      <c r="I604" s="49">
        <f>F604+H604</f>
        <v>4</v>
      </c>
      <c r="J604" s="46">
        <f>$D$37</f>
        <v>125</v>
      </c>
      <c r="K604" s="44">
        <f>+J604*I604</f>
        <v>500</v>
      </c>
    </row>
    <row r="605" spans="1:11" ht="16.5">
      <c r="A605" s="129"/>
      <c r="B605" s="31" t="s">
        <v>219</v>
      </c>
      <c r="C605" s="24">
        <v>1</v>
      </c>
      <c r="D605" s="24"/>
      <c r="E605" s="24"/>
      <c r="F605" s="28">
        <f>C605</f>
        <v>1</v>
      </c>
      <c r="G605" s="24"/>
      <c r="H605" s="42">
        <f>F605*G605%</f>
        <v>0</v>
      </c>
      <c r="I605" s="49">
        <f>F605+H605</f>
        <v>1</v>
      </c>
      <c r="J605" s="46">
        <f>$D$38</f>
        <v>100</v>
      </c>
      <c r="K605" s="44">
        <f>+J605*I605</f>
        <v>100</v>
      </c>
    </row>
    <row r="606" spans="1:11" ht="16.5">
      <c r="A606" s="129"/>
      <c r="B606" s="31" t="s">
        <v>220</v>
      </c>
      <c r="C606" s="24"/>
      <c r="D606" s="24"/>
      <c r="E606" s="24"/>
      <c r="F606" s="28"/>
      <c r="G606" s="24"/>
      <c r="H606" s="42"/>
      <c r="I606" s="49"/>
      <c r="J606" s="46">
        <f>$D$40</f>
        <v>125</v>
      </c>
      <c r="K606" s="44"/>
    </row>
    <row r="607" spans="1:11" ht="19.5" customHeight="1">
      <c r="A607" s="129"/>
      <c r="B607" s="31" t="s">
        <v>221</v>
      </c>
      <c r="C607" s="24">
        <v>5</v>
      </c>
      <c r="D607" s="24"/>
      <c r="E607" s="24"/>
      <c r="F607" s="28">
        <f>C607</f>
        <v>5</v>
      </c>
      <c r="G607" s="24"/>
      <c r="H607" s="42">
        <f>F607*G607%</f>
        <v>0</v>
      </c>
      <c r="I607" s="49">
        <f>F607+H607</f>
        <v>5</v>
      </c>
      <c r="J607" s="46">
        <f>$D$39</f>
        <v>200</v>
      </c>
      <c r="K607" s="44">
        <f>+J607*I607</f>
        <v>1000</v>
      </c>
    </row>
    <row r="608" spans="1:11" ht="15.75">
      <c r="A608" s="130"/>
      <c r="B608" s="24" t="s">
        <v>273</v>
      </c>
      <c r="C608" s="24">
        <v>5</v>
      </c>
      <c r="D608" s="24"/>
      <c r="E608" s="24"/>
      <c r="F608" s="28">
        <f>C608</f>
        <v>5</v>
      </c>
      <c r="G608" s="24"/>
      <c r="H608" s="42">
        <f>F608*G608%</f>
        <v>0</v>
      </c>
      <c r="I608" s="49">
        <f>F608+H608</f>
        <v>5</v>
      </c>
      <c r="J608" s="46">
        <f>$D$36</f>
        <v>250</v>
      </c>
      <c r="K608" s="44">
        <f>+J608*I608</f>
        <v>1250</v>
      </c>
    </row>
    <row r="609" spans="1:11" ht="15.75">
      <c r="A609" s="130"/>
      <c r="B609" s="24" t="s">
        <v>274</v>
      </c>
      <c r="C609" s="24">
        <v>1</v>
      </c>
      <c r="D609" s="24"/>
      <c r="E609" s="24"/>
      <c r="F609" s="24"/>
      <c r="G609" s="24"/>
      <c r="H609" s="24"/>
      <c r="I609" s="14"/>
      <c r="J609" s="15"/>
      <c r="K609" s="15">
        <v>500</v>
      </c>
    </row>
    <row r="610" spans="1:11" ht="15.75">
      <c r="A610" s="130"/>
      <c r="B610" s="24" t="s">
        <v>275</v>
      </c>
      <c r="C610" s="24"/>
      <c r="D610" s="24"/>
      <c r="E610" s="28"/>
      <c r="F610" s="24"/>
      <c r="G610" s="24"/>
      <c r="H610" s="24"/>
      <c r="I610" s="93">
        <f>K522+K523</f>
        <v>2.3625000000000003</v>
      </c>
      <c r="J610" s="15">
        <v>2500</v>
      </c>
      <c r="K610" s="15">
        <f>+J610*I610</f>
        <v>5906.250000000001</v>
      </c>
    </row>
    <row r="611" spans="1:11" ht="16.5">
      <c r="A611" s="145"/>
      <c r="B611" s="25" t="s">
        <v>14</v>
      </c>
      <c r="C611" s="30"/>
      <c r="D611" s="30"/>
      <c r="E611" s="30"/>
      <c r="F611" s="30"/>
      <c r="G611" s="30"/>
      <c r="H611" s="30"/>
      <c r="I611" s="43"/>
      <c r="J611" s="44"/>
      <c r="K611" s="51">
        <f>SUM(K527:K610)</f>
        <v>52181.97262500001</v>
      </c>
    </row>
    <row r="612" spans="1:11" ht="15.75">
      <c r="A612" s="145"/>
      <c r="B612" s="16" t="str">
        <f>$B$7</f>
        <v>Add Towards Overhead and Profit</v>
      </c>
      <c r="C612" s="60"/>
      <c r="D612" s="52"/>
      <c r="E612" s="52"/>
      <c r="F612" s="18">
        <f>$F$7</f>
        <v>15</v>
      </c>
      <c r="G612" s="24"/>
      <c r="H612" s="24"/>
      <c r="I612" s="53"/>
      <c r="J612" s="15"/>
      <c r="K612" s="46">
        <f>+K611*F612%</f>
        <v>7827.295893750001</v>
      </c>
    </row>
    <row r="613" spans="1:11" ht="15.75">
      <c r="A613" s="145"/>
      <c r="B613" s="16" t="s">
        <v>223</v>
      </c>
      <c r="C613" s="60"/>
      <c r="D613" s="52"/>
      <c r="E613" s="52"/>
      <c r="F613" s="18"/>
      <c r="G613" s="24"/>
      <c r="H613" s="24"/>
      <c r="I613" s="53"/>
      <c r="J613" s="15"/>
      <c r="K613" s="46">
        <f>SUM(K611:K612)</f>
        <v>60009.26851875001</v>
      </c>
    </row>
    <row r="614" spans="1:11" ht="17.25">
      <c r="A614" s="145"/>
      <c r="B614" s="25"/>
      <c r="C614" s="13"/>
      <c r="D614" s="25"/>
      <c r="E614" s="25"/>
      <c r="F614" s="25"/>
      <c r="G614" s="25"/>
      <c r="H614" s="25"/>
      <c r="I614" s="119" t="s">
        <v>224</v>
      </c>
      <c r="J614" s="112"/>
      <c r="K614" s="55">
        <v>60000</v>
      </c>
    </row>
    <row r="615" spans="1:11" ht="16.5">
      <c r="A615" s="145"/>
      <c r="B615" s="25"/>
      <c r="C615" s="13"/>
      <c r="D615" s="25"/>
      <c r="E615" s="25"/>
      <c r="F615" s="25"/>
      <c r="G615" s="25"/>
      <c r="H615" s="25"/>
      <c r="I615" s="14"/>
      <c r="J615" s="26"/>
      <c r="K615" s="21"/>
    </row>
    <row r="616" spans="1:11" ht="16.5" customHeight="1">
      <c r="A616" s="132">
        <f>A522+1</f>
        <v>14</v>
      </c>
      <c r="B616" s="89" t="s">
        <v>301</v>
      </c>
      <c r="C616" s="25"/>
      <c r="D616" s="25"/>
      <c r="E616" s="25">
        <v>1.65</v>
      </c>
      <c r="F616" s="25" t="s">
        <v>225</v>
      </c>
      <c r="G616" s="25">
        <v>0.9</v>
      </c>
      <c r="H616" s="25" t="s">
        <v>225</v>
      </c>
      <c r="I616" s="25">
        <v>0.75</v>
      </c>
      <c r="J616" s="26" t="s">
        <v>225</v>
      </c>
      <c r="K616" s="102">
        <f>G616*E616</f>
        <v>1.4849999999999999</v>
      </c>
    </row>
    <row r="617" spans="1:11" ht="16.5">
      <c r="A617" s="129"/>
      <c r="B617" s="12"/>
      <c r="C617" s="12"/>
      <c r="D617" s="12"/>
      <c r="E617" s="25">
        <v>1.05</v>
      </c>
      <c r="F617" s="25" t="s">
        <v>225</v>
      </c>
      <c r="G617" s="25">
        <v>0.45</v>
      </c>
      <c r="H617" s="25" t="s">
        <v>225</v>
      </c>
      <c r="I617" s="25">
        <v>0.75</v>
      </c>
      <c r="J617" s="26" t="s">
        <v>225</v>
      </c>
      <c r="K617" s="102">
        <f>G617*E617</f>
        <v>0.47250000000000003</v>
      </c>
    </row>
    <row r="618" spans="1:11" ht="15.75">
      <c r="A618" s="145"/>
      <c r="B618" s="70" t="s">
        <v>279</v>
      </c>
      <c r="C618" s="70"/>
      <c r="D618" s="70"/>
      <c r="E618" s="70"/>
      <c r="F618" s="70"/>
      <c r="G618" s="70"/>
      <c r="H618" s="70"/>
      <c r="I618" s="105"/>
      <c r="J618" s="91"/>
      <c r="K618" s="91"/>
    </row>
    <row r="619" spans="1:11" ht="15.75">
      <c r="A619" s="145"/>
      <c r="B619" s="70" t="s">
        <v>181</v>
      </c>
      <c r="C619" s="70">
        <v>1</v>
      </c>
      <c r="D619" s="70">
        <f>E616</f>
        <v>1.65</v>
      </c>
      <c r="E619" s="70">
        <f>G616</f>
        <v>0.9</v>
      </c>
      <c r="F619" s="107">
        <f>C619*D619*E619</f>
        <v>1.4849999999999999</v>
      </c>
      <c r="G619" s="70"/>
      <c r="H619" s="70"/>
      <c r="I619" s="77"/>
      <c r="J619" s="91"/>
      <c r="K619" s="74"/>
    </row>
    <row r="620" spans="1:11" ht="15.75">
      <c r="A620" s="145"/>
      <c r="B620" s="70"/>
      <c r="C620" s="70">
        <v>1</v>
      </c>
      <c r="D620" s="70">
        <f>E617</f>
        <v>1.05</v>
      </c>
      <c r="E620" s="70">
        <f>G617</f>
        <v>0.45</v>
      </c>
      <c r="F620" s="107">
        <f>C620*D620*E620</f>
        <v>0.47250000000000003</v>
      </c>
      <c r="G620" s="70"/>
      <c r="H620" s="70"/>
      <c r="I620" s="77"/>
      <c r="J620" s="91"/>
      <c r="K620" s="74"/>
    </row>
    <row r="621" spans="1:11" ht="15.75">
      <c r="A621" s="145"/>
      <c r="B621" s="70"/>
      <c r="C621" s="70"/>
      <c r="D621" s="70"/>
      <c r="E621" s="70"/>
      <c r="F621" s="107">
        <f>SUM(F619:F620)</f>
        <v>1.9575</v>
      </c>
      <c r="G621" s="74">
        <v>5</v>
      </c>
      <c r="H621" s="107">
        <f>F621*G621%</f>
        <v>0.097875</v>
      </c>
      <c r="I621" s="96">
        <f>F621+H621</f>
        <v>2.055375</v>
      </c>
      <c r="J621" s="91">
        <f>$D$11</f>
        <v>1325</v>
      </c>
      <c r="K621" s="91">
        <f>+J621*I621</f>
        <v>2723.3718750000003</v>
      </c>
    </row>
    <row r="622" spans="1:11" ht="15.75">
      <c r="A622" s="145"/>
      <c r="B622" s="139" t="s">
        <v>97</v>
      </c>
      <c r="C622" s="70"/>
      <c r="D622" s="70"/>
      <c r="E622" s="70"/>
      <c r="F622" s="107"/>
      <c r="G622" s="70"/>
      <c r="H622" s="107"/>
      <c r="I622" s="105"/>
      <c r="J622" s="91"/>
      <c r="K622" s="91"/>
    </row>
    <row r="623" spans="1:11" ht="15.75">
      <c r="A623" s="145"/>
      <c r="B623" s="70" t="s">
        <v>280</v>
      </c>
      <c r="C623" s="70">
        <v>1</v>
      </c>
      <c r="D623" s="70">
        <f>E616-G617</f>
        <v>1.2</v>
      </c>
      <c r="E623" s="70">
        <v>0.075</v>
      </c>
      <c r="F623" s="107">
        <f aca="true" t="shared" si="27" ref="F623:F628">C623*D623*E623</f>
        <v>0.09</v>
      </c>
      <c r="G623" s="70"/>
      <c r="H623" s="107"/>
      <c r="I623" s="77"/>
      <c r="J623" s="91"/>
      <c r="K623" s="74"/>
    </row>
    <row r="624" spans="1:11" ht="15.75">
      <c r="A624" s="145"/>
      <c r="B624" s="70"/>
      <c r="C624" s="70">
        <v>1</v>
      </c>
      <c r="D624" s="70">
        <f>E616</f>
        <v>1.65</v>
      </c>
      <c r="E624" s="70">
        <v>0.075</v>
      </c>
      <c r="F624" s="107">
        <f t="shared" si="27"/>
        <v>0.12374999999999999</v>
      </c>
      <c r="G624" s="70"/>
      <c r="H624" s="107"/>
      <c r="I624" s="77"/>
      <c r="J624" s="91"/>
      <c r="K624" s="74"/>
    </row>
    <row r="625" spans="1:11" ht="15.75">
      <c r="A625" s="145"/>
      <c r="B625" s="70"/>
      <c r="C625" s="70">
        <v>1</v>
      </c>
      <c r="D625" s="70">
        <f>E617</f>
        <v>1.05</v>
      </c>
      <c r="E625" s="70">
        <v>0.075</v>
      </c>
      <c r="F625" s="107">
        <f t="shared" si="27"/>
        <v>0.07875</v>
      </c>
      <c r="G625" s="70"/>
      <c r="H625" s="107"/>
      <c r="I625" s="77"/>
      <c r="J625" s="91"/>
      <c r="K625" s="74"/>
    </row>
    <row r="626" spans="1:11" ht="15.75">
      <c r="A626" s="145"/>
      <c r="B626" s="70" t="s">
        <v>281</v>
      </c>
      <c r="C626" s="70">
        <v>1</v>
      </c>
      <c r="D626" s="70">
        <f>E616</f>
        <v>1.65</v>
      </c>
      <c r="E626" s="70">
        <f>I616</f>
        <v>0.75</v>
      </c>
      <c r="F626" s="107">
        <f t="shared" si="27"/>
        <v>1.2374999999999998</v>
      </c>
      <c r="G626" s="70"/>
      <c r="H626" s="107"/>
      <c r="I626" s="77"/>
      <c r="J626" s="91"/>
      <c r="K626" s="74"/>
    </row>
    <row r="627" spans="1:11" ht="15.75">
      <c r="A627" s="145"/>
      <c r="B627" s="70" t="s">
        <v>297</v>
      </c>
      <c r="C627" s="70">
        <v>1</v>
      </c>
      <c r="D627" s="70">
        <f>G616</f>
        <v>0.9</v>
      </c>
      <c r="E627" s="70">
        <f>I616</f>
        <v>0.75</v>
      </c>
      <c r="F627" s="107">
        <f t="shared" si="27"/>
        <v>0.675</v>
      </c>
      <c r="G627" s="70"/>
      <c r="H627" s="107"/>
      <c r="I627" s="77"/>
      <c r="J627" s="91"/>
      <c r="K627" s="74"/>
    </row>
    <row r="628" spans="1:11" ht="15.75">
      <c r="A628" s="145"/>
      <c r="B628" s="70" t="s">
        <v>290</v>
      </c>
      <c r="C628" s="70">
        <v>2</v>
      </c>
      <c r="D628" s="70">
        <v>0.15</v>
      </c>
      <c r="E628" s="70">
        <f>I616</f>
        <v>0.75</v>
      </c>
      <c r="F628" s="107">
        <f t="shared" si="27"/>
        <v>0.22499999999999998</v>
      </c>
      <c r="G628" s="70"/>
      <c r="H628" s="107"/>
      <c r="I628" s="77"/>
      <c r="J628" s="91"/>
      <c r="K628" s="74"/>
    </row>
    <row r="629" spans="1:11" ht="16.5">
      <c r="A629" s="129"/>
      <c r="B629" s="31" t="s">
        <v>185</v>
      </c>
      <c r="C629" s="24">
        <v>1</v>
      </c>
      <c r="D629" s="24">
        <f>G616-D628</f>
        <v>0.75</v>
      </c>
      <c r="E629" s="24">
        <f>I616</f>
        <v>0.75</v>
      </c>
      <c r="F629" s="28">
        <f>E629*D629*C629</f>
        <v>0.5625</v>
      </c>
      <c r="G629" s="24"/>
      <c r="H629" s="24"/>
      <c r="I629" s="45"/>
      <c r="J629" s="46"/>
      <c r="K629" s="22"/>
    </row>
    <row r="630" spans="1:11" ht="16.5">
      <c r="A630" s="129"/>
      <c r="B630" s="31" t="s">
        <v>186</v>
      </c>
      <c r="C630" s="24">
        <v>2</v>
      </c>
      <c r="D630" s="24">
        <f>E620</f>
        <v>0.45</v>
      </c>
      <c r="E630" s="24">
        <f>I616</f>
        <v>0.75</v>
      </c>
      <c r="F630" s="28">
        <f>E630*D630*C630</f>
        <v>0.675</v>
      </c>
      <c r="G630" s="24"/>
      <c r="H630" s="24"/>
      <c r="I630" s="45"/>
      <c r="J630" s="46"/>
      <c r="K630" s="22"/>
    </row>
    <row r="631" spans="1:11" ht="16.5">
      <c r="A631" s="129"/>
      <c r="B631" s="31" t="s">
        <v>187</v>
      </c>
      <c r="C631" s="24">
        <v>1</v>
      </c>
      <c r="D631" s="24">
        <v>0.4</v>
      </c>
      <c r="E631" s="28">
        <f>I617</f>
        <v>0.75</v>
      </c>
      <c r="F631" s="28">
        <f>E631*D631*C631</f>
        <v>0.30000000000000004</v>
      </c>
      <c r="G631" s="24"/>
      <c r="H631" s="24"/>
      <c r="I631" s="45"/>
      <c r="J631" s="46"/>
      <c r="K631" s="22"/>
    </row>
    <row r="632" spans="1:11" ht="15.75">
      <c r="A632" s="145"/>
      <c r="B632" s="70"/>
      <c r="C632" s="70"/>
      <c r="D632" s="70"/>
      <c r="E632" s="70"/>
      <c r="F632" s="107">
        <f>SUM(F623:F631)</f>
        <v>3.9675000000000002</v>
      </c>
      <c r="G632" s="74">
        <v>5</v>
      </c>
      <c r="H632" s="107">
        <f>F632*G632%</f>
        <v>0.19837500000000002</v>
      </c>
      <c r="I632" s="96">
        <f>F632+H632</f>
        <v>4.165875000000001</v>
      </c>
      <c r="J632" s="91">
        <f>$D$8</f>
        <v>800</v>
      </c>
      <c r="K632" s="91">
        <f>+J632*I632</f>
        <v>3332.7000000000007</v>
      </c>
    </row>
    <row r="633" spans="1:11" ht="16.5">
      <c r="A633" s="129"/>
      <c r="B633" s="40" t="s">
        <v>188</v>
      </c>
      <c r="C633" s="24"/>
      <c r="D633" s="24"/>
      <c r="E633" s="24"/>
      <c r="F633" s="28"/>
      <c r="G633" s="30"/>
      <c r="H633" s="42"/>
      <c r="I633" s="43"/>
      <c r="J633" s="44"/>
      <c r="K633" s="44"/>
    </row>
    <row r="634" spans="1:11" ht="16.5">
      <c r="A634" s="129"/>
      <c r="B634" s="31" t="s">
        <v>191</v>
      </c>
      <c r="C634" s="24">
        <v>2</v>
      </c>
      <c r="D634" s="24">
        <v>0.45</v>
      </c>
      <c r="E634" s="24">
        <f>I616</f>
        <v>0.75</v>
      </c>
      <c r="F634" s="28">
        <f>E634*D634*C634</f>
        <v>0.675</v>
      </c>
      <c r="G634" s="24"/>
      <c r="H634" s="24"/>
      <c r="I634" s="45"/>
      <c r="J634" s="46"/>
      <c r="K634" s="22"/>
    </row>
    <row r="635" spans="1:11" ht="16.5">
      <c r="A635" s="129"/>
      <c r="B635" s="31" t="s">
        <v>192</v>
      </c>
      <c r="C635" s="24">
        <v>2</v>
      </c>
      <c r="D635" s="24">
        <v>0.4</v>
      </c>
      <c r="E635" s="24">
        <f>I616</f>
        <v>0.75</v>
      </c>
      <c r="F635" s="28">
        <f>E635*D635*C635</f>
        <v>0.6000000000000001</v>
      </c>
      <c r="G635" s="24"/>
      <c r="H635" s="24"/>
      <c r="I635" s="45"/>
      <c r="J635" s="46"/>
      <c r="K635" s="22"/>
    </row>
    <row r="636" spans="1:11" ht="16.5">
      <c r="A636" s="129"/>
      <c r="B636" s="31" t="s">
        <v>193</v>
      </c>
      <c r="C636" s="24">
        <v>3</v>
      </c>
      <c r="D636" s="24">
        <v>0.4</v>
      </c>
      <c r="E636" s="24">
        <v>0.45</v>
      </c>
      <c r="F636" s="28">
        <f>E636*D636*C636</f>
        <v>0.54</v>
      </c>
      <c r="G636" s="24"/>
      <c r="H636" s="24"/>
      <c r="I636" s="45"/>
      <c r="J636" s="46"/>
      <c r="K636" s="22"/>
    </row>
    <row r="637" spans="1:11" ht="16.5">
      <c r="A637" s="129"/>
      <c r="B637" s="31" t="s">
        <v>302</v>
      </c>
      <c r="C637" s="24">
        <v>1</v>
      </c>
      <c r="D637" s="24">
        <v>0.4</v>
      </c>
      <c r="E637" s="24">
        <f>E634</f>
        <v>0.75</v>
      </c>
      <c r="F637" s="28">
        <f>E637*D637*C637</f>
        <v>0.30000000000000004</v>
      </c>
      <c r="G637" s="24"/>
      <c r="H637" s="24"/>
      <c r="I637" s="45"/>
      <c r="J637" s="46"/>
      <c r="K637" s="22"/>
    </row>
    <row r="638" spans="1:11" ht="16.5">
      <c r="A638" s="129"/>
      <c r="B638" s="31" t="s">
        <v>263</v>
      </c>
      <c r="C638" s="24">
        <v>1</v>
      </c>
      <c r="D638" s="24">
        <v>0.4</v>
      </c>
      <c r="E638" s="24">
        <v>0.45</v>
      </c>
      <c r="F638" s="28">
        <f>E638*D638*C638</f>
        <v>0.18000000000000002</v>
      </c>
      <c r="G638" s="24"/>
      <c r="H638" s="24"/>
      <c r="I638" s="45"/>
      <c r="J638" s="46"/>
      <c r="K638" s="22"/>
    </row>
    <row r="639" spans="1:11" ht="16.5">
      <c r="A639" s="129"/>
      <c r="B639" s="31"/>
      <c r="C639" s="24"/>
      <c r="D639" s="24"/>
      <c r="E639" s="24"/>
      <c r="F639" s="28">
        <f>SUM(F634:F638)</f>
        <v>2.2950000000000004</v>
      </c>
      <c r="G639" s="30">
        <v>5</v>
      </c>
      <c r="H639" s="42">
        <f>F639*G639%</f>
        <v>0.11475000000000002</v>
      </c>
      <c r="I639" s="43">
        <f>F639+H639</f>
        <v>2.4097500000000003</v>
      </c>
      <c r="J639" s="44">
        <f>$D$9</f>
        <v>550</v>
      </c>
      <c r="K639" s="44">
        <f>+J639*I639</f>
        <v>1325.3625000000002</v>
      </c>
    </row>
    <row r="640" spans="1:11" ht="16.5">
      <c r="A640" s="145"/>
      <c r="B640" s="140" t="s">
        <v>110</v>
      </c>
      <c r="C640" s="70"/>
      <c r="D640" s="70"/>
      <c r="E640" s="70"/>
      <c r="F640" s="70"/>
      <c r="G640" s="74"/>
      <c r="H640" s="107"/>
      <c r="I640" s="96"/>
      <c r="J640" s="91"/>
      <c r="K640" s="91"/>
    </row>
    <row r="641" spans="1:11" ht="15.75">
      <c r="A641" s="145"/>
      <c r="B641" s="70" t="s">
        <v>181</v>
      </c>
      <c r="C641" s="70">
        <v>1</v>
      </c>
      <c r="D641" s="70">
        <f>E616</f>
        <v>1.65</v>
      </c>
      <c r="E641" s="70">
        <f>G616</f>
        <v>0.9</v>
      </c>
      <c r="F641" s="107">
        <f aca="true" t="shared" si="28" ref="F641:F646">C641*D641*E641</f>
        <v>1.4849999999999999</v>
      </c>
      <c r="G641" s="74"/>
      <c r="H641" s="107"/>
      <c r="I641" s="96"/>
      <c r="J641" s="91"/>
      <c r="K641" s="91"/>
    </row>
    <row r="642" spans="1:11" ht="15.75">
      <c r="A642" s="145"/>
      <c r="B642" s="70"/>
      <c r="C642" s="70">
        <v>1</v>
      </c>
      <c r="D642" s="70">
        <f>E617</f>
        <v>1.05</v>
      </c>
      <c r="E642" s="70">
        <f>G617</f>
        <v>0.45</v>
      </c>
      <c r="F642" s="107">
        <f t="shared" si="28"/>
        <v>0.47250000000000003</v>
      </c>
      <c r="G642" s="74"/>
      <c r="H642" s="107"/>
      <c r="I642" s="96"/>
      <c r="J642" s="91"/>
      <c r="K642" s="91"/>
    </row>
    <row r="643" spans="1:11" ht="15.75">
      <c r="A643" s="145"/>
      <c r="B643" s="70" t="s">
        <v>280</v>
      </c>
      <c r="C643" s="70">
        <v>1</v>
      </c>
      <c r="D643" s="70">
        <f>D641-E642</f>
        <v>1.2</v>
      </c>
      <c r="E643" s="70">
        <v>0.05</v>
      </c>
      <c r="F643" s="107">
        <f t="shared" si="28"/>
        <v>0.06</v>
      </c>
      <c r="G643" s="74"/>
      <c r="H643" s="107"/>
      <c r="I643" s="96"/>
      <c r="J643" s="91"/>
      <c r="K643" s="91"/>
    </row>
    <row r="644" spans="1:11" ht="15.75">
      <c r="A644" s="145"/>
      <c r="B644" s="70" t="s">
        <v>287</v>
      </c>
      <c r="C644" s="70">
        <v>1</v>
      </c>
      <c r="D644" s="70">
        <f>D641</f>
        <v>1.65</v>
      </c>
      <c r="E644" s="70">
        <v>0.05</v>
      </c>
      <c r="F644" s="107">
        <f t="shared" si="28"/>
        <v>0.0825</v>
      </c>
      <c r="G644" s="74"/>
      <c r="H644" s="107"/>
      <c r="I644" s="96"/>
      <c r="J644" s="91"/>
      <c r="K644" s="91"/>
    </row>
    <row r="645" spans="1:11" ht="15.75">
      <c r="A645" s="145"/>
      <c r="B645" s="70"/>
      <c r="C645" s="70">
        <v>1</v>
      </c>
      <c r="D645" s="70">
        <f>D642</f>
        <v>1.05</v>
      </c>
      <c r="E645" s="70">
        <v>0.05</v>
      </c>
      <c r="F645" s="107">
        <f t="shared" si="28"/>
        <v>0.052500000000000005</v>
      </c>
      <c r="G645" s="74"/>
      <c r="H645" s="107"/>
      <c r="I645" s="96"/>
      <c r="J645" s="91"/>
      <c r="K645" s="91"/>
    </row>
    <row r="646" spans="1:11" ht="15.75">
      <c r="A646" s="145"/>
      <c r="B646" s="70" t="s">
        <v>259</v>
      </c>
      <c r="C646" s="70">
        <v>1</v>
      </c>
      <c r="D646" s="70">
        <f>G616</f>
        <v>0.9</v>
      </c>
      <c r="E646" s="70">
        <f>I616</f>
        <v>0.75</v>
      </c>
      <c r="F646" s="107">
        <f t="shared" si="28"/>
        <v>0.675</v>
      </c>
      <c r="G646" s="74"/>
      <c r="H646" s="107"/>
      <c r="I646" s="96"/>
      <c r="J646" s="91"/>
      <c r="K646" s="91"/>
    </row>
    <row r="647" spans="1:11" ht="15.75">
      <c r="A647" s="145"/>
      <c r="B647" s="70" t="s">
        <v>299</v>
      </c>
      <c r="C647" s="70">
        <v>2</v>
      </c>
      <c r="D647" s="70">
        <v>0.7</v>
      </c>
      <c r="E647" s="70">
        <v>0.05</v>
      </c>
      <c r="F647" s="70">
        <f>C647*D647*E647</f>
        <v>0.06999999999999999</v>
      </c>
      <c r="G647" s="74"/>
      <c r="H647" s="107"/>
      <c r="I647" s="96"/>
      <c r="J647" s="91"/>
      <c r="K647" s="91"/>
    </row>
    <row r="648" spans="1:11" ht="15.75">
      <c r="A648" s="145"/>
      <c r="B648" s="76"/>
      <c r="C648" s="70"/>
      <c r="D648" s="76"/>
      <c r="E648" s="76"/>
      <c r="F648" s="107">
        <f>SUM(F641:F647)</f>
        <v>2.8975000000000004</v>
      </c>
      <c r="G648" s="74">
        <v>5</v>
      </c>
      <c r="H648" s="70">
        <f>F648*G648%</f>
        <v>0.14487500000000003</v>
      </c>
      <c r="I648" s="96">
        <f>F648+H648</f>
        <v>3.0423750000000003</v>
      </c>
      <c r="J648" s="91">
        <f>$D$20</f>
        <v>6300</v>
      </c>
      <c r="K648" s="91">
        <f>+J648*I648</f>
        <v>19166.9625</v>
      </c>
    </row>
    <row r="649" spans="1:11" ht="16.5">
      <c r="A649" s="130"/>
      <c r="B649" s="140" t="s">
        <v>104</v>
      </c>
      <c r="C649" s="24"/>
      <c r="D649" s="24"/>
      <c r="E649" s="24"/>
      <c r="F649" s="24"/>
      <c r="G649" s="24"/>
      <c r="H649" s="28"/>
      <c r="I649" s="90"/>
      <c r="J649" s="15"/>
      <c r="K649" s="15"/>
    </row>
    <row r="650" spans="1:11" ht="15.75">
      <c r="A650" s="130"/>
      <c r="B650" s="139" t="s">
        <v>197</v>
      </c>
      <c r="C650" s="24">
        <v>1</v>
      </c>
      <c r="D650" s="28">
        <f>E616</f>
        <v>1.65</v>
      </c>
      <c r="E650" s="28">
        <f>I616</f>
        <v>0.75</v>
      </c>
      <c r="F650" s="28">
        <f>C650*D650*E650</f>
        <v>1.2374999999999998</v>
      </c>
      <c r="G650" s="24"/>
      <c r="H650" s="28"/>
      <c r="I650" s="90"/>
      <c r="J650" s="15"/>
      <c r="K650" s="15"/>
    </row>
    <row r="651" spans="1:11" ht="15.75">
      <c r="A651" s="130"/>
      <c r="B651" s="24" t="s">
        <v>264</v>
      </c>
      <c r="C651" s="24">
        <v>1</v>
      </c>
      <c r="D651" s="45">
        <v>0.4</v>
      </c>
      <c r="E651" s="28">
        <v>0.7</v>
      </c>
      <c r="F651" s="24">
        <f>C651*D651*E651</f>
        <v>0.27999999999999997</v>
      </c>
      <c r="G651" s="24"/>
      <c r="H651" s="28"/>
      <c r="I651" s="14"/>
      <c r="J651" s="15"/>
      <c r="K651" s="13"/>
    </row>
    <row r="652" spans="1:11" ht="15.75">
      <c r="A652" s="130"/>
      <c r="B652" s="24" t="s">
        <v>200</v>
      </c>
      <c r="C652" s="24">
        <v>1</v>
      </c>
      <c r="D652" s="28">
        <v>0.45</v>
      </c>
      <c r="E652" s="28">
        <v>0.7</v>
      </c>
      <c r="F652" s="28">
        <f>C652*D652*E652</f>
        <v>0.315</v>
      </c>
      <c r="G652" s="24"/>
      <c r="H652" s="28"/>
      <c r="I652" s="14"/>
      <c r="J652" s="15"/>
      <c r="K652" s="13"/>
    </row>
    <row r="653" spans="1:11" ht="15.75">
      <c r="A653" s="130"/>
      <c r="B653" s="24" t="s">
        <v>291</v>
      </c>
      <c r="C653" s="24">
        <v>1</v>
      </c>
      <c r="D653" s="28">
        <v>0.4</v>
      </c>
      <c r="E653" s="28">
        <v>0.7</v>
      </c>
      <c r="F653" s="28">
        <f>C653*D653*E653</f>
        <v>0.27999999999999997</v>
      </c>
      <c r="G653" s="24"/>
      <c r="H653" s="28"/>
      <c r="I653" s="14"/>
      <c r="J653" s="15"/>
      <c r="K653" s="13"/>
    </row>
    <row r="654" spans="1:11" ht="15.75">
      <c r="A654" s="130"/>
      <c r="B654" s="24" t="s">
        <v>200</v>
      </c>
      <c r="C654" s="24">
        <v>1</v>
      </c>
      <c r="D654" s="28">
        <f>D629</f>
        <v>0.75</v>
      </c>
      <c r="E654" s="28">
        <v>0.65</v>
      </c>
      <c r="F654" s="28">
        <f>C654*D654*E654</f>
        <v>0.48750000000000004</v>
      </c>
      <c r="G654" s="24"/>
      <c r="H654" s="28"/>
      <c r="I654" s="14"/>
      <c r="J654" s="15"/>
      <c r="K654" s="13"/>
    </row>
    <row r="655" spans="1:11" ht="15.75">
      <c r="A655" s="130"/>
      <c r="B655" s="24"/>
      <c r="C655" s="24"/>
      <c r="D655" s="24"/>
      <c r="E655" s="24"/>
      <c r="F655" s="28">
        <f>SUM(F650:F654)</f>
        <v>2.5999999999999996</v>
      </c>
      <c r="G655" s="13">
        <v>5</v>
      </c>
      <c r="H655" s="28">
        <f>F655*G655%</f>
        <v>0.12999999999999998</v>
      </c>
      <c r="I655" s="53">
        <f>F655+H655</f>
        <v>2.7299999999999995</v>
      </c>
      <c r="J655" s="91">
        <f>$D$15</f>
        <v>550</v>
      </c>
      <c r="K655" s="15">
        <f>+J655*I655</f>
        <v>1501.4999999999998</v>
      </c>
    </row>
    <row r="656" spans="1:11" ht="16.5">
      <c r="A656" s="145"/>
      <c r="B656" s="102" t="s">
        <v>265</v>
      </c>
      <c r="C656" s="70"/>
      <c r="D656" s="70"/>
      <c r="E656" s="70"/>
      <c r="F656" s="70"/>
      <c r="G656" s="70"/>
      <c r="H656" s="70"/>
      <c r="I656" s="105"/>
      <c r="J656" s="91"/>
      <c r="K656" s="91"/>
    </row>
    <row r="657" spans="1:11" ht="15.75">
      <c r="A657" s="145"/>
      <c r="B657" s="70" t="s">
        <v>291</v>
      </c>
      <c r="C657" s="70"/>
      <c r="D657" s="70"/>
      <c r="E657" s="70"/>
      <c r="F657" s="70"/>
      <c r="G657" s="70"/>
      <c r="H657" s="70"/>
      <c r="I657" s="105"/>
      <c r="J657" s="91"/>
      <c r="K657" s="91"/>
    </row>
    <row r="658" spans="1:11" ht="15.75">
      <c r="A658" s="145"/>
      <c r="B658" s="70" t="s">
        <v>192</v>
      </c>
      <c r="C658" s="70">
        <v>2</v>
      </c>
      <c r="D658" s="70">
        <v>0.4</v>
      </c>
      <c r="E658" s="70">
        <v>0.6</v>
      </c>
      <c r="F658" s="107">
        <f>C658*D658*E658</f>
        <v>0.48</v>
      </c>
      <c r="G658" s="70"/>
      <c r="H658" s="70"/>
      <c r="I658" s="105"/>
      <c r="J658" s="91"/>
      <c r="K658" s="91"/>
    </row>
    <row r="659" spans="1:11" ht="15.75">
      <c r="A659" s="145"/>
      <c r="B659" s="70" t="s">
        <v>200</v>
      </c>
      <c r="C659" s="70">
        <v>2</v>
      </c>
      <c r="D659" s="70">
        <v>0.45</v>
      </c>
      <c r="E659" s="70">
        <v>0.6</v>
      </c>
      <c r="F659" s="107">
        <f>C659*D659*E659</f>
        <v>0.54</v>
      </c>
      <c r="G659" s="70"/>
      <c r="H659" s="70"/>
      <c r="I659" s="105"/>
      <c r="J659" s="91"/>
      <c r="K659" s="91"/>
    </row>
    <row r="660" spans="1:11" ht="15.75">
      <c r="A660" s="145"/>
      <c r="B660" s="70" t="s">
        <v>193</v>
      </c>
      <c r="C660" s="70">
        <v>3</v>
      </c>
      <c r="D660" s="70">
        <v>0.4</v>
      </c>
      <c r="E660" s="70">
        <v>0.45</v>
      </c>
      <c r="F660" s="107">
        <f>C660*D660*E660</f>
        <v>0.5400000000000001</v>
      </c>
      <c r="G660" s="70"/>
      <c r="H660" s="70"/>
      <c r="I660" s="105"/>
      <c r="J660" s="91"/>
      <c r="K660" s="91"/>
    </row>
    <row r="661" spans="1:11" ht="15.75">
      <c r="A661" s="145"/>
      <c r="B661" s="70" t="s">
        <v>303</v>
      </c>
      <c r="C661" s="70"/>
      <c r="D661" s="70"/>
      <c r="E661" s="70"/>
      <c r="F661" s="107"/>
      <c r="G661" s="70"/>
      <c r="H661" s="70"/>
      <c r="I661" s="105"/>
      <c r="J661" s="91"/>
      <c r="K661" s="91"/>
    </row>
    <row r="662" spans="1:11" ht="15.75">
      <c r="A662" s="145"/>
      <c r="B662" s="70" t="s">
        <v>192</v>
      </c>
      <c r="C662" s="70">
        <v>2</v>
      </c>
      <c r="D662" s="70">
        <v>0.45</v>
      </c>
      <c r="E662" s="70">
        <v>0.6</v>
      </c>
      <c r="F662" s="107">
        <f aca="true" t="shared" si="29" ref="F662:F667">C662*D662*E662</f>
        <v>0.54</v>
      </c>
      <c r="G662" s="70"/>
      <c r="H662" s="70"/>
      <c r="I662" s="105"/>
      <c r="J662" s="91"/>
      <c r="K662" s="91"/>
    </row>
    <row r="663" spans="1:11" ht="15.75">
      <c r="A663" s="145"/>
      <c r="B663" s="70" t="s">
        <v>200</v>
      </c>
      <c r="C663" s="70">
        <v>2</v>
      </c>
      <c r="D663" s="70">
        <v>0.45</v>
      </c>
      <c r="E663" s="70">
        <v>0.6</v>
      </c>
      <c r="F663" s="107">
        <f t="shared" si="29"/>
        <v>0.54</v>
      </c>
      <c r="G663" s="70"/>
      <c r="H663" s="70"/>
      <c r="I663" s="105"/>
      <c r="J663" s="91"/>
      <c r="K663" s="91"/>
    </row>
    <row r="664" spans="1:11" ht="15.75">
      <c r="A664" s="145"/>
      <c r="B664" s="70" t="s">
        <v>193</v>
      </c>
      <c r="C664" s="70">
        <v>1</v>
      </c>
      <c r="D664" s="70">
        <v>0.6</v>
      </c>
      <c r="E664" s="70">
        <v>0.45</v>
      </c>
      <c r="F664" s="107">
        <f t="shared" si="29"/>
        <v>0.27</v>
      </c>
      <c r="G664" s="70"/>
      <c r="H664" s="70"/>
      <c r="I664" s="105"/>
      <c r="J664" s="91"/>
      <c r="K664" s="91"/>
    </row>
    <row r="665" spans="1:11" ht="15.75">
      <c r="A665" s="145"/>
      <c r="B665" s="70" t="s">
        <v>263</v>
      </c>
      <c r="C665" s="70">
        <v>2</v>
      </c>
      <c r="D665" s="70">
        <v>0.45</v>
      </c>
      <c r="E665" s="70">
        <v>0.4</v>
      </c>
      <c r="F665" s="107">
        <f t="shared" si="29"/>
        <v>0.36000000000000004</v>
      </c>
      <c r="G665" s="70"/>
      <c r="H665" s="70"/>
      <c r="I665" s="105"/>
      <c r="J665" s="91"/>
      <c r="K665" s="91"/>
    </row>
    <row r="666" spans="1:11" ht="15.75">
      <c r="A666" s="145"/>
      <c r="B666" s="70" t="s">
        <v>197</v>
      </c>
      <c r="C666" s="70">
        <v>1</v>
      </c>
      <c r="D666" s="70">
        <f>1.65-0.45</f>
        <v>1.2</v>
      </c>
      <c r="E666" s="70">
        <v>0.75</v>
      </c>
      <c r="F666" s="107">
        <f t="shared" si="29"/>
        <v>0.8999999999999999</v>
      </c>
      <c r="G666" s="70"/>
      <c r="H666" s="70"/>
      <c r="I666" s="105"/>
      <c r="J666" s="91"/>
      <c r="K666" s="91"/>
    </row>
    <row r="667" spans="1:11" ht="15.75">
      <c r="A667" s="145"/>
      <c r="B667" s="70" t="s">
        <v>200</v>
      </c>
      <c r="C667" s="70">
        <v>1</v>
      </c>
      <c r="D667" s="70">
        <f>1.05-0.4</f>
        <v>0.65</v>
      </c>
      <c r="E667" s="70">
        <v>0.75</v>
      </c>
      <c r="F667" s="107">
        <f t="shared" si="29"/>
        <v>0.48750000000000004</v>
      </c>
      <c r="G667" s="70"/>
      <c r="H667" s="70"/>
      <c r="I667" s="105"/>
      <c r="J667" s="91"/>
      <c r="K667" s="91"/>
    </row>
    <row r="668" spans="1:11" ht="15.75">
      <c r="A668" s="145"/>
      <c r="B668" s="70"/>
      <c r="C668" s="70"/>
      <c r="D668" s="70"/>
      <c r="E668" s="70"/>
      <c r="F668" s="107">
        <f>SUM(F657:F667)</f>
        <v>4.6575</v>
      </c>
      <c r="G668" s="74"/>
      <c r="H668" s="70"/>
      <c r="I668" s="96">
        <f>F668</f>
        <v>4.6575</v>
      </c>
      <c r="J668" s="91">
        <f>$D$28</f>
        <v>120</v>
      </c>
      <c r="K668" s="91">
        <f>+J668*I668</f>
        <v>558.9</v>
      </c>
    </row>
    <row r="669" spans="1:11" ht="16.5">
      <c r="A669" s="145"/>
      <c r="B669" s="102" t="s">
        <v>271</v>
      </c>
      <c r="C669" s="70">
        <v>1</v>
      </c>
      <c r="D669" s="110">
        <f>F655</f>
        <v>2.5999999999999996</v>
      </c>
      <c r="E669" s="70">
        <v>3</v>
      </c>
      <c r="F669" s="106">
        <f>C669*D669/E669</f>
        <v>0.8666666666666666</v>
      </c>
      <c r="G669" s="70"/>
      <c r="H669" s="70"/>
      <c r="I669" s="105">
        <f>F669</f>
        <v>0.8666666666666666</v>
      </c>
      <c r="J669" s="91">
        <f>$D$27</f>
        <v>225</v>
      </c>
      <c r="K669" s="91">
        <f>+J669*I669</f>
        <v>194.99999999999997</v>
      </c>
    </row>
    <row r="670" spans="1:11" ht="16.5">
      <c r="A670" s="130"/>
      <c r="B670" s="25" t="s">
        <v>269</v>
      </c>
      <c r="C670" s="24"/>
      <c r="D670" s="45"/>
      <c r="E670" s="24"/>
      <c r="F670" s="45"/>
      <c r="G670" s="13"/>
      <c r="H670" s="24"/>
      <c r="I670" s="53"/>
      <c r="J670" s="91"/>
      <c r="K670" s="15"/>
    </row>
    <row r="671" spans="1:11" ht="15.75">
      <c r="A671" s="130"/>
      <c r="B671" s="24" t="s">
        <v>294</v>
      </c>
      <c r="C671" s="24">
        <v>2</v>
      </c>
      <c r="D671" s="28">
        <v>0.65</v>
      </c>
      <c r="E671" s="24"/>
      <c r="F671" s="45">
        <f>D671*C671</f>
        <v>1.3</v>
      </c>
      <c r="G671" s="13"/>
      <c r="H671" s="24"/>
      <c r="I671" s="53"/>
      <c r="J671" s="91"/>
      <c r="K671" s="15"/>
    </row>
    <row r="672" spans="1:11" ht="15.75">
      <c r="A672" s="130"/>
      <c r="B672" s="24" t="s">
        <v>304</v>
      </c>
      <c r="C672" s="24">
        <v>2</v>
      </c>
      <c r="D672" s="28">
        <v>0.65</v>
      </c>
      <c r="E672" s="24"/>
      <c r="F672" s="45">
        <f>D672*C672</f>
        <v>1.3</v>
      </c>
      <c r="G672" s="13"/>
      <c r="H672" s="24"/>
      <c r="I672" s="53"/>
      <c r="J672" s="91"/>
      <c r="K672" s="15"/>
    </row>
    <row r="673" spans="1:11" ht="15.75">
      <c r="A673" s="130"/>
      <c r="B673" s="24" t="s">
        <v>208</v>
      </c>
      <c r="C673" s="24">
        <v>2</v>
      </c>
      <c r="D673" s="28">
        <v>0.4</v>
      </c>
      <c r="E673" s="24"/>
      <c r="F673" s="45">
        <f>D673*C673</f>
        <v>0.8</v>
      </c>
      <c r="G673" s="13"/>
      <c r="H673" s="24"/>
      <c r="I673" s="53"/>
      <c r="J673" s="91"/>
      <c r="K673" s="15"/>
    </row>
    <row r="674" spans="1:11" ht="15.75">
      <c r="A674" s="130"/>
      <c r="B674" s="24"/>
      <c r="C674" s="24">
        <v>2</v>
      </c>
      <c r="D674" s="28">
        <v>0.65</v>
      </c>
      <c r="E674" s="24"/>
      <c r="F674" s="45">
        <f>D674*C674</f>
        <v>1.3</v>
      </c>
      <c r="G674" s="13"/>
      <c r="H674" s="24"/>
      <c r="I674" s="53"/>
      <c r="J674" s="91"/>
      <c r="K674" s="15"/>
    </row>
    <row r="675" spans="1:11" ht="15.75">
      <c r="A675" s="130"/>
      <c r="B675" s="24"/>
      <c r="C675" s="24"/>
      <c r="D675" s="45"/>
      <c r="E675" s="24"/>
      <c r="F675" s="45">
        <f>SUM(F671:F674)</f>
        <v>4.7</v>
      </c>
      <c r="G675" s="13"/>
      <c r="H675" s="24"/>
      <c r="I675" s="53">
        <f>F675+H675</f>
        <v>4.7</v>
      </c>
      <c r="J675" s="91">
        <f>$I$117</f>
        <v>12</v>
      </c>
      <c r="K675" s="15">
        <f>+J675*I675</f>
        <v>56.400000000000006</v>
      </c>
    </row>
    <row r="676" spans="1:11" ht="16.5">
      <c r="A676" s="130"/>
      <c r="B676" s="25" t="s">
        <v>270</v>
      </c>
      <c r="C676" s="24"/>
      <c r="D676" s="45"/>
      <c r="E676" s="24"/>
      <c r="F676" s="45"/>
      <c r="G676" s="13"/>
      <c r="H676" s="24"/>
      <c r="I676" s="53"/>
      <c r="J676" s="91"/>
      <c r="K676" s="15"/>
    </row>
    <row r="677" spans="1:11" ht="15.75">
      <c r="A677" s="130"/>
      <c r="B677" s="24" t="s">
        <v>291</v>
      </c>
      <c r="C677" s="24">
        <f>2*3</f>
        <v>6</v>
      </c>
      <c r="D677" s="28">
        <v>0.4</v>
      </c>
      <c r="E677" s="24"/>
      <c r="F677" s="45">
        <f>D677*C677</f>
        <v>2.4000000000000004</v>
      </c>
      <c r="G677" s="13"/>
      <c r="H677" s="24"/>
      <c r="I677" s="53"/>
      <c r="J677" s="91"/>
      <c r="K677" s="15"/>
    </row>
    <row r="678" spans="1:11" ht="15.75">
      <c r="A678" s="130"/>
      <c r="B678" s="24"/>
      <c r="C678" s="24">
        <f>2*3</f>
        <v>6</v>
      </c>
      <c r="D678" s="28">
        <v>0.45</v>
      </c>
      <c r="E678" s="24"/>
      <c r="F678" s="45">
        <f>D678*C678</f>
        <v>2.7</v>
      </c>
      <c r="G678" s="13"/>
      <c r="H678" s="24"/>
      <c r="I678" s="53"/>
      <c r="J678" s="91"/>
      <c r="K678" s="15"/>
    </row>
    <row r="679" spans="1:11" ht="15.75">
      <c r="A679" s="130"/>
      <c r="B679" s="24" t="s">
        <v>305</v>
      </c>
      <c r="C679" s="24">
        <v>2</v>
      </c>
      <c r="D679" s="28">
        <v>0.45</v>
      </c>
      <c r="E679" s="24"/>
      <c r="F679" s="45">
        <f>D679*C679</f>
        <v>0.9</v>
      </c>
      <c r="G679" s="13"/>
      <c r="H679" s="24"/>
      <c r="I679" s="53"/>
      <c r="J679" s="91"/>
      <c r="K679" s="15"/>
    </row>
    <row r="680" spans="1:11" ht="15.75">
      <c r="A680" s="130"/>
      <c r="B680" s="24"/>
      <c r="C680" s="24">
        <v>2</v>
      </c>
      <c r="D680" s="28">
        <v>0.4</v>
      </c>
      <c r="E680" s="24"/>
      <c r="F680" s="45">
        <f>D680*C680</f>
        <v>0.8</v>
      </c>
      <c r="G680" s="13"/>
      <c r="H680" s="24"/>
      <c r="I680" s="53"/>
      <c r="J680" s="91"/>
      <c r="K680" s="15"/>
    </row>
    <row r="681" spans="1:11" ht="16.5">
      <c r="A681" s="130"/>
      <c r="B681" s="140"/>
      <c r="C681" s="24"/>
      <c r="D681" s="45"/>
      <c r="E681" s="24"/>
      <c r="F681" s="45">
        <f>SUM(F677:F680)</f>
        <v>6.800000000000001</v>
      </c>
      <c r="G681" s="13"/>
      <c r="H681" s="24"/>
      <c r="I681" s="53">
        <f>F681+H681</f>
        <v>6.800000000000001</v>
      </c>
      <c r="J681" s="91">
        <f>$I$125</f>
        <v>9</v>
      </c>
      <c r="K681" s="15">
        <f>+J681*I681</f>
        <v>61.2</v>
      </c>
    </row>
    <row r="682" spans="1:11" ht="16.5">
      <c r="A682" s="129"/>
      <c r="B682" s="40" t="s">
        <v>214</v>
      </c>
      <c r="C682" s="24"/>
      <c r="D682" s="24"/>
      <c r="E682" s="24"/>
      <c r="F682" s="24"/>
      <c r="G682" s="24"/>
      <c r="H682" s="24"/>
      <c r="I682" s="45"/>
      <c r="J682" s="46"/>
      <c r="K682" s="22"/>
    </row>
    <row r="683" spans="1:11" ht="16.5">
      <c r="A683" s="129"/>
      <c r="B683" s="31" t="s">
        <v>215</v>
      </c>
      <c r="C683" s="24">
        <v>1</v>
      </c>
      <c r="D683" s="24"/>
      <c r="E683" s="24"/>
      <c r="F683" s="28">
        <f>C683</f>
        <v>1</v>
      </c>
      <c r="G683" s="24"/>
      <c r="H683" s="42">
        <f>F683*G683%</f>
        <v>0</v>
      </c>
      <c r="I683" s="49">
        <f>F683+H683</f>
        <v>1</v>
      </c>
      <c r="J683" s="46">
        <f>$D$36</f>
        <v>250</v>
      </c>
      <c r="K683" s="44">
        <f>+J683*I683</f>
        <v>250</v>
      </c>
    </row>
    <row r="684" spans="1:11" ht="16.5">
      <c r="A684" s="129"/>
      <c r="B684" s="31" t="s">
        <v>216</v>
      </c>
      <c r="C684" s="24">
        <v>1</v>
      </c>
      <c r="D684" s="24"/>
      <c r="E684" s="24"/>
      <c r="F684" s="28">
        <f>C684</f>
        <v>1</v>
      </c>
      <c r="G684" s="24"/>
      <c r="H684" s="42">
        <f>F684*G684%</f>
        <v>0</v>
      </c>
      <c r="I684" s="49">
        <f>F684+H684</f>
        <v>1</v>
      </c>
      <c r="J684" s="46">
        <f>$D$32</f>
        <v>1000</v>
      </c>
      <c r="K684" s="44">
        <f>+J684*I684</f>
        <v>1000</v>
      </c>
    </row>
    <row r="685" spans="1:11" ht="16.5">
      <c r="A685" s="129"/>
      <c r="B685" s="31" t="s">
        <v>217</v>
      </c>
      <c r="C685" s="24">
        <v>1</v>
      </c>
      <c r="D685" s="24"/>
      <c r="E685" s="24"/>
      <c r="F685" s="28">
        <f>C685</f>
        <v>1</v>
      </c>
      <c r="G685" s="24"/>
      <c r="H685" s="42">
        <f>F685*G685%</f>
        <v>0</v>
      </c>
      <c r="I685" s="49">
        <f>F685+H685</f>
        <v>1</v>
      </c>
      <c r="J685" s="46">
        <f>$D$34</f>
        <v>1100</v>
      </c>
      <c r="K685" s="44">
        <f>+J685*I685</f>
        <v>1100</v>
      </c>
    </row>
    <row r="686" spans="1:11" ht="16.5">
      <c r="A686" s="129"/>
      <c r="B686" s="31" t="s">
        <v>218</v>
      </c>
      <c r="C686" s="24">
        <v>3</v>
      </c>
      <c r="D686" s="24"/>
      <c r="E686" s="24"/>
      <c r="F686" s="28">
        <f>C686</f>
        <v>3</v>
      </c>
      <c r="G686" s="24"/>
      <c r="H686" s="42">
        <f>F686*G686%</f>
        <v>0</v>
      </c>
      <c r="I686" s="49">
        <f>F686+H686</f>
        <v>3</v>
      </c>
      <c r="J686" s="46">
        <f>$D$37</f>
        <v>125</v>
      </c>
      <c r="K686" s="44">
        <f>+J686*I686</f>
        <v>375</v>
      </c>
    </row>
    <row r="687" spans="1:11" ht="16.5">
      <c r="A687" s="129"/>
      <c r="B687" s="31" t="s">
        <v>219</v>
      </c>
      <c r="C687" s="24">
        <v>1</v>
      </c>
      <c r="D687" s="24"/>
      <c r="E687" s="24"/>
      <c r="F687" s="28">
        <f>C687</f>
        <v>1</v>
      </c>
      <c r="G687" s="24"/>
      <c r="H687" s="42">
        <f>F687*G687%</f>
        <v>0</v>
      </c>
      <c r="I687" s="49">
        <f>F687+H687</f>
        <v>1</v>
      </c>
      <c r="J687" s="46">
        <f>$D$38</f>
        <v>100</v>
      </c>
      <c r="K687" s="44">
        <f>+J687*I687</f>
        <v>100</v>
      </c>
    </row>
    <row r="688" spans="1:11" ht="16.5">
      <c r="A688" s="129"/>
      <c r="B688" s="31" t="s">
        <v>220</v>
      </c>
      <c r="C688" s="24"/>
      <c r="D688" s="24"/>
      <c r="E688" s="24"/>
      <c r="F688" s="28"/>
      <c r="G688" s="24"/>
      <c r="H688" s="42"/>
      <c r="I688" s="49"/>
      <c r="J688" s="46">
        <f>$D$40</f>
        <v>125</v>
      </c>
      <c r="K688" s="44"/>
    </row>
    <row r="689" spans="1:11" ht="19.5" customHeight="1">
      <c r="A689" s="129"/>
      <c r="B689" s="31" t="s">
        <v>221</v>
      </c>
      <c r="C689" s="24">
        <v>4</v>
      </c>
      <c r="D689" s="24"/>
      <c r="E689" s="24"/>
      <c r="F689" s="28">
        <f>C689</f>
        <v>4</v>
      </c>
      <c r="G689" s="24"/>
      <c r="H689" s="42">
        <f>F689*G689%</f>
        <v>0</v>
      </c>
      <c r="I689" s="49">
        <f>F689+H689</f>
        <v>4</v>
      </c>
      <c r="J689" s="46">
        <f>$D$39</f>
        <v>200</v>
      </c>
      <c r="K689" s="44">
        <f>+J689*I689</f>
        <v>800</v>
      </c>
    </row>
    <row r="690" spans="1:11" ht="15.75">
      <c r="A690" s="130"/>
      <c r="B690" s="24" t="s">
        <v>273</v>
      </c>
      <c r="C690" s="24">
        <v>3</v>
      </c>
      <c r="D690" s="24"/>
      <c r="E690" s="24"/>
      <c r="F690" s="28">
        <f>C690</f>
        <v>3</v>
      </c>
      <c r="G690" s="24"/>
      <c r="H690" s="42">
        <f>F690*G690%</f>
        <v>0</v>
      </c>
      <c r="I690" s="49">
        <f>F690+H690</f>
        <v>3</v>
      </c>
      <c r="J690" s="46">
        <f>$D$36</f>
        <v>250</v>
      </c>
      <c r="K690" s="44">
        <f>+J690*I690</f>
        <v>750</v>
      </c>
    </row>
    <row r="691" spans="1:11" ht="15.75">
      <c r="A691" s="130"/>
      <c r="B691" s="24" t="s">
        <v>274</v>
      </c>
      <c r="C691" s="24">
        <v>1</v>
      </c>
      <c r="D691" s="24"/>
      <c r="E691" s="24"/>
      <c r="F691" s="24"/>
      <c r="G691" s="24"/>
      <c r="H691" s="24"/>
      <c r="I691" s="14"/>
      <c r="J691" s="15"/>
      <c r="K691" s="15">
        <v>300</v>
      </c>
    </row>
    <row r="692" spans="1:11" ht="15.75">
      <c r="A692" s="130"/>
      <c r="B692" s="24" t="s">
        <v>275</v>
      </c>
      <c r="C692" s="24"/>
      <c r="D692" s="24"/>
      <c r="E692" s="28"/>
      <c r="F692" s="24"/>
      <c r="G692" s="24"/>
      <c r="H692" s="24"/>
      <c r="I692" s="93">
        <f>K616+K617</f>
        <v>1.9575</v>
      </c>
      <c r="J692" s="15">
        <v>2500</v>
      </c>
      <c r="K692" s="15">
        <f>+J692*I692</f>
        <v>4893.75</v>
      </c>
    </row>
    <row r="693" spans="1:11" ht="16.5">
      <c r="A693" s="145"/>
      <c r="B693" s="25" t="s">
        <v>14</v>
      </c>
      <c r="C693" s="30"/>
      <c r="D693" s="30"/>
      <c r="E693" s="30"/>
      <c r="F693" s="30"/>
      <c r="G693" s="30"/>
      <c r="H693" s="30"/>
      <c r="I693" s="43"/>
      <c r="J693" s="44"/>
      <c r="K693" s="51">
        <f>SUM(K621:K692)</f>
        <v>38490.146875000006</v>
      </c>
    </row>
    <row r="694" spans="1:11" ht="15.75">
      <c r="A694" s="145"/>
      <c r="B694" s="16" t="str">
        <f>$B$7</f>
        <v>Add Towards Overhead and Profit</v>
      </c>
      <c r="C694" s="60"/>
      <c r="D694" s="52"/>
      <c r="E694" s="52"/>
      <c r="F694" s="18">
        <f>$F$7</f>
        <v>15</v>
      </c>
      <c r="G694" s="24"/>
      <c r="H694" s="24"/>
      <c r="I694" s="53"/>
      <c r="J694" s="15"/>
      <c r="K694" s="46">
        <f>+K693*F694%</f>
        <v>5773.5220312500005</v>
      </c>
    </row>
    <row r="695" spans="1:11" ht="15.75">
      <c r="A695" s="145"/>
      <c r="B695" s="16" t="s">
        <v>223</v>
      </c>
      <c r="C695" s="60"/>
      <c r="D695" s="52"/>
      <c r="E695" s="52"/>
      <c r="F695" s="18"/>
      <c r="G695" s="24"/>
      <c r="H695" s="24"/>
      <c r="I695" s="53"/>
      <c r="J695" s="15"/>
      <c r="K695" s="46">
        <f>SUM(K693:K694)</f>
        <v>44263.66890625001</v>
      </c>
    </row>
    <row r="696" spans="1:11" ht="17.25">
      <c r="A696" s="145"/>
      <c r="B696" s="70"/>
      <c r="C696" s="70"/>
      <c r="D696" s="70"/>
      <c r="E696" s="70"/>
      <c r="F696" s="70"/>
      <c r="G696" s="70"/>
      <c r="H696" s="70"/>
      <c r="I696" s="119" t="s">
        <v>224</v>
      </c>
      <c r="J696" s="112"/>
      <c r="K696" s="55">
        <v>45000</v>
      </c>
    </row>
    <row r="697" spans="1:11" ht="16.5">
      <c r="A697" s="145"/>
      <c r="B697" s="25"/>
      <c r="C697" s="13"/>
      <c r="D697" s="25"/>
      <c r="E697" s="25"/>
      <c r="F697" s="25"/>
      <c r="G697" s="25"/>
      <c r="H697" s="25"/>
      <c r="I697" s="14"/>
      <c r="J697" s="27"/>
      <c r="K697" s="21"/>
    </row>
    <row r="698" spans="1:11" ht="16.5" customHeight="1">
      <c r="A698" s="132">
        <f>A616+1</f>
        <v>15</v>
      </c>
      <c r="B698" s="89" t="s">
        <v>296</v>
      </c>
      <c r="C698" s="25"/>
      <c r="D698" s="25"/>
      <c r="E698" s="25">
        <v>1.65</v>
      </c>
      <c r="F698" s="25" t="s">
        <v>225</v>
      </c>
      <c r="G698" s="25">
        <v>0.9</v>
      </c>
      <c r="H698" s="25" t="s">
        <v>225</v>
      </c>
      <c r="I698" s="25">
        <v>0.75</v>
      </c>
      <c r="J698" s="26" t="s">
        <v>225</v>
      </c>
      <c r="K698" s="102">
        <f>G698*E698</f>
        <v>1.4849999999999999</v>
      </c>
    </row>
    <row r="699" spans="1:11" ht="16.5">
      <c r="A699" s="129"/>
      <c r="B699" s="12"/>
      <c r="C699" s="12"/>
      <c r="D699" s="12"/>
      <c r="E699" s="25">
        <v>1.05</v>
      </c>
      <c r="F699" s="25" t="s">
        <v>225</v>
      </c>
      <c r="G699" s="25">
        <v>0.45</v>
      </c>
      <c r="H699" s="25" t="s">
        <v>225</v>
      </c>
      <c r="I699" s="25">
        <v>0.75</v>
      </c>
      <c r="J699" s="26" t="s">
        <v>225</v>
      </c>
      <c r="K699" s="102">
        <f>G699*E699</f>
        <v>0.47250000000000003</v>
      </c>
    </row>
    <row r="700" spans="1:11" ht="15.75">
      <c r="A700" s="145"/>
      <c r="B700" s="70" t="s">
        <v>279</v>
      </c>
      <c r="C700" s="70"/>
      <c r="D700" s="70"/>
      <c r="E700" s="70"/>
      <c r="F700" s="70"/>
      <c r="G700" s="70"/>
      <c r="H700" s="70"/>
      <c r="I700" s="105"/>
      <c r="J700" s="91"/>
      <c r="K700" s="91"/>
    </row>
    <row r="701" spans="1:11" ht="15.75">
      <c r="A701" s="145"/>
      <c r="B701" s="70" t="s">
        <v>181</v>
      </c>
      <c r="C701" s="70">
        <v>1</v>
      </c>
      <c r="D701" s="70">
        <f>E698</f>
        <v>1.65</v>
      </c>
      <c r="E701" s="70">
        <f>G698</f>
        <v>0.9</v>
      </c>
      <c r="F701" s="106">
        <f>C701*D701*E701</f>
        <v>1.4849999999999999</v>
      </c>
      <c r="G701" s="70"/>
      <c r="H701" s="70"/>
      <c r="I701" s="77"/>
      <c r="J701" s="91"/>
      <c r="K701" s="74"/>
    </row>
    <row r="702" spans="1:11" ht="15.75">
      <c r="A702" s="145"/>
      <c r="B702" s="70"/>
      <c r="C702" s="70">
        <v>1</v>
      </c>
      <c r="D702" s="70">
        <f>E699</f>
        <v>1.05</v>
      </c>
      <c r="E702" s="70">
        <f>G699</f>
        <v>0.45</v>
      </c>
      <c r="F702" s="106">
        <f>C702*D702*E702</f>
        <v>0.47250000000000003</v>
      </c>
      <c r="G702" s="70"/>
      <c r="H702" s="70"/>
      <c r="I702" s="77"/>
      <c r="J702" s="91"/>
      <c r="K702" s="74"/>
    </row>
    <row r="703" spans="1:11" ht="15.75">
      <c r="A703" s="145"/>
      <c r="B703" s="70"/>
      <c r="C703" s="70"/>
      <c r="D703" s="70"/>
      <c r="E703" s="70"/>
      <c r="F703" s="106">
        <f>SUM(F701:F702)</f>
        <v>1.9575</v>
      </c>
      <c r="G703" s="74">
        <v>5</v>
      </c>
      <c r="H703" s="107">
        <f>F703*G703%</f>
        <v>0.097875</v>
      </c>
      <c r="I703" s="96">
        <f>F703+H703</f>
        <v>2.055375</v>
      </c>
      <c r="J703" s="91">
        <f>$D$11</f>
        <v>1325</v>
      </c>
      <c r="K703" s="91">
        <f>+J703*I703</f>
        <v>2723.3718750000003</v>
      </c>
    </row>
    <row r="704" spans="1:11" ht="15.75">
      <c r="A704" s="145"/>
      <c r="B704" s="139" t="s">
        <v>97</v>
      </c>
      <c r="C704" s="70"/>
      <c r="D704" s="70"/>
      <c r="E704" s="70"/>
      <c r="F704" s="70"/>
      <c r="G704" s="70"/>
      <c r="H704" s="107"/>
      <c r="I704" s="105"/>
      <c r="J704" s="91"/>
      <c r="K704" s="91"/>
    </row>
    <row r="705" spans="1:11" ht="15.75">
      <c r="A705" s="145"/>
      <c r="B705" s="70" t="s">
        <v>280</v>
      </c>
      <c r="C705" s="70">
        <v>1</v>
      </c>
      <c r="D705" s="70">
        <f>E698-G699</f>
        <v>1.2</v>
      </c>
      <c r="E705" s="70">
        <v>0.075</v>
      </c>
      <c r="F705" s="106">
        <f aca="true" t="shared" si="30" ref="F705:F710">C705*D705*E705</f>
        <v>0.09</v>
      </c>
      <c r="G705" s="70"/>
      <c r="H705" s="107"/>
      <c r="I705" s="77"/>
      <c r="J705" s="91"/>
      <c r="K705" s="74"/>
    </row>
    <row r="706" spans="1:11" ht="15.75">
      <c r="A706" s="145"/>
      <c r="B706" s="70"/>
      <c r="C706" s="70">
        <v>1</v>
      </c>
      <c r="D706" s="70">
        <f>E698</f>
        <v>1.65</v>
      </c>
      <c r="E706" s="70">
        <v>0.075</v>
      </c>
      <c r="F706" s="106">
        <f t="shared" si="30"/>
        <v>0.12374999999999999</v>
      </c>
      <c r="G706" s="70"/>
      <c r="H706" s="107"/>
      <c r="I706" s="77"/>
      <c r="J706" s="91"/>
      <c r="K706" s="74"/>
    </row>
    <row r="707" spans="1:11" ht="15.75">
      <c r="A707" s="145"/>
      <c r="B707" s="70"/>
      <c r="C707" s="70">
        <v>1</v>
      </c>
      <c r="D707" s="70">
        <f>E699</f>
        <v>1.05</v>
      </c>
      <c r="E707" s="70">
        <v>0.075</v>
      </c>
      <c r="F707" s="106">
        <f t="shared" si="30"/>
        <v>0.07875</v>
      </c>
      <c r="G707" s="70"/>
      <c r="H707" s="107"/>
      <c r="I707" s="77"/>
      <c r="J707" s="91"/>
      <c r="K707" s="74"/>
    </row>
    <row r="708" spans="1:11" ht="15.75">
      <c r="A708" s="145"/>
      <c r="B708" s="70" t="s">
        <v>281</v>
      </c>
      <c r="C708" s="70">
        <v>1</v>
      </c>
      <c r="D708" s="70">
        <f>E698</f>
        <v>1.65</v>
      </c>
      <c r="E708" s="70">
        <f>I698</f>
        <v>0.75</v>
      </c>
      <c r="F708" s="106">
        <f t="shared" si="30"/>
        <v>1.2374999999999998</v>
      </c>
      <c r="G708" s="70"/>
      <c r="H708" s="107"/>
      <c r="I708" s="77"/>
      <c r="J708" s="91"/>
      <c r="K708" s="74"/>
    </row>
    <row r="709" spans="1:11" ht="15.75">
      <c r="A709" s="145"/>
      <c r="B709" s="70" t="s">
        <v>297</v>
      </c>
      <c r="C709" s="70">
        <v>1</v>
      </c>
      <c r="D709" s="70">
        <f>G698</f>
        <v>0.9</v>
      </c>
      <c r="E709" s="70">
        <f>I698</f>
        <v>0.75</v>
      </c>
      <c r="F709" s="106">
        <f t="shared" si="30"/>
        <v>0.675</v>
      </c>
      <c r="G709" s="70"/>
      <c r="H709" s="107"/>
      <c r="I709" s="77"/>
      <c r="J709" s="91"/>
      <c r="K709" s="74"/>
    </row>
    <row r="710" spans="1:11" ht="15.75">
      <c r="A710" s="145"/>
      <c r="B710" s="70" t="s">
        <v>290</v>
      </c>
      <c r="C710" s="70">
        <v>2</v>
      </c>
      <c r="D710" s="70">
        <v>0.15</v>
      </c>
      <c r="E710" s="70">
        <f>I698</f>
        <v>0.75</v>
      </c>
      <c r="F710" s="106">
        <f t="shared" si="30"/>
        <v>0.22499999999999998</v>
      </c>
      <c r="G710" s="70"/>
      <c r="H710" s="107"/>
      <c r="I710" s="77"/>
      <c r="J710" s="91"/>
      <c r="K710" s="74"/>
    </row>
    <row r="711" spans="1:11" ht="16.5">
      <c r="A711" s="129"/>
      <c r="B711" s="31" t="s">
        <v>185</v>
      </c>
      <c r="C711" s="24">
        <v>1</v>
      </c>
      <c r="D711" s="24">
        <f>G698-D710</f>
        <v>0.75</v>
      </c>
      <c r="E711" s="24">
        <f>I698</f>
        <v>0.75</v>
      </c>
      <c r="F711" s="109">
        <f>E711*D711*C711</f>
        <v>0.5625</v>
      </c>
      <c r="G711" s="24"/>
      <c r="H711" s="24"/>
      <c r="I711" s="45"/>
      <c r="J711" s="46"/>
      <c r="K711" s="22"/>
    </row>
    <row r="712" spans="1:11" ht="16.5">
      <c r="A712" s="129"/>
      <c r="B712" s="31" t="s">
        <v>186</v>
      </c>
      <c r="C712" s="24">
        <v>2</v>
      </c>
      <c r="D712" s="24">
        <f>E702</f>
        <v>0.45</v>
      </c>
      <c r="E712" s="24">
        <f>I698</f>
        <v>0.75</v>
      </c>
      <c r="F712" s="109">
        <f>E712*D712*C712</f>
        <v>0.675</v>
      </c>
      <c r="G712" s="24"/>
      <c r="H712" s="24"/>
      <c r="I712" s="45"/>
      <c r="J712" s="46"/>
      <c r="K712" s="22"/>
    </row>
    <row r="713" spans="1:11" ht="16.5">
      <c r="A713" s="129"/>
      <c r="B713" s="31" t="s">
        <v>187</v>
      </c>
      <c r="C713" s="24">
        <v>1</v>
      </c>
      <c r="D713" s="24">
        <v>0.6</v>
      </c>
      <c r="E713" s="28">
        <f>I699</f>
        <v>0.75</v>
      </c>
      <c r="F713" s="109">
        <f>E713*D713*C713</f>
        <v>0.44999999999999996</v>
      </c>
      <c r="G713" s="24"/>
      <c r="H713" s="24"/>
      <c r="I713" s="45"/>
      <c r="J713" s="46"/>
      <c r="K713" s="22"/>
    </row>
    <row r="714" spans="1:11" ht="15.75">
      <c r="A714" s="145"/>
      <c r="B714" s="70"/>
      <c r="C714" s="70"/>
      <c r="D714" s="70"/>
      <c r="E714" s="70"/>
      <c r="F714" s="106">
        <f>SUM(F705:F713)</f>
        <v>4.117500000000001</v>
      </c>
      <c r="G714" s="74">
        <v>5</v>
      </c>
      <c r="H714" s="107">
        <f>F714*G714%</f>
        <v>0.20587500000000003</v>
      </c>
      <c r="I714" s="96">
        <f>F714+H714</f>
        <v>4.323375</v>
      </c>
      <c r="J714" s="91">
        <f>$D$8</f>
        <v>800</v>
      </c>
      <c r="K714" s="91">
        <f>+J714*I714</f>
        <v>3458.7000000000003</v>
      </c>
    </row>
    <row r="715" spans="1:11" ht="16.5">
      <c r="A715" s="129"/>
      <c r="B715" s="40" t="s">
        <v>188</v>
      </c>
      <c r="C715" s="24"/>
      <c r="D715" s="24"/>
      <c r="E715" s="24"/>
      <c r="F715" s="28"/>
      <c r="G715" s="30"/>
      <c r="H715" s="42"/>
      <c r="I715" s="43"/>
      <c r="J715" s="44"/>
      <c r="K715" s="44"/>
    </row>
    <row r="716" spans="1:11" ht="16.5">
      <c r="A716" s="129"/>
      <c r="B716" s="31" t="s">
        <v>191</v>
      </c>
      <c r="C716" s="24">
        <v>2</v>
      </c>
      <c r="D716" s="24">
        <v>0.45</v>
      </c>
      <c r="E716" s="24">
        <f>I698</f>
        <v>0.75</v>
      </c>
      <c r="F716" s="28">
        <f>E716*D716*C716</f>
        <v>0.675</v>
      </c>
      <c r="G716" s="24"/>
      <c r="H716" s="24"/>
      <c r="I716" s="45"/>
      <c r="J716" s="46"/>
      <c r="K716" s="22"/>
    </row>
    <row r="717" spans="1:11" ht="16.5">
      <c r="A717" s="129"/>
      <c r="B717" s="31" t="s">
        <v>192</v>
      </c>
      <c r="C717" s="24">
        <v>2</v>
      </c>
      <c r="D717" s="24">
        <v>0.4</v>
      </c>
      <c r="E717" s="24">
        <f>I698</f>
        <v>0.75</v>
      </c>
      <c r="F717" s="28">
        <f>E717*D717*C717</f>
        <v>0.6000000000000001</v>
      </c>
      <c r="G717" s="24"/>
      <c r="H717" s="24"/>
      <c r="I717" s="45"/>
      <c r="J717" s="46"/>
      <c r="K717" s="22"/>
    </row>
    <row r="718" spans="1:11" ht="16.5">
      <c r="A718" s="129"/>
      <c r="B718" s="31" t="s">
        <v>193</v>
      </c>
      <c r="C718" s="24">
        <v>3</v>
      </c>
      <c r="D718" s="24">
        <v>0.4</v>
      </c>
      <c r="E718" s="24">
        <v>0.45</v>
      </c>
      <c r="F718" s="28">
        <f>E718*D718*C718</f>
        <v>0.54</v>
      </c>
      <c r="G718" s="24"/>
      <c r="H718" s="24"/>
      <c r="I718" s="45"/>
      <c r="J718" s="46"/>
      <c r="K718" s="22"/>
    </row>
    <row r="719" spans="1:11" ht="16.5">
      <c r="A719" s="129"/>
      <c r="B719" s="31" t="s">
        <v>298</v>
      </c>
      <c r="C719" s="24">
        <v>4</v>
      </c>
      <c r="D719" s="24">
        <v>0.45</v>
      </c>
      <c r="E719" s="24">
        <v>0.1</v>
      </c>
      <c r="F719" s="28">
        <f>E719*D719*C719</f>
        <v>0.18000000000000002</v>
      </c>
      <c r="G719" s="24"/>
      <c r="H719" s="24"/>
      <c r="I719" s="45"/>
      <c r="J719" s="46"/>
      <c r="K719" s="22"/>
    </row>
    <row r="720" spans="1:11" ht="16.5">
      <c r="A720" s="129"/>
      <c r="B720" s="31" t="s">
        <v>192</v>
      </c>
      <c r="C720" s="24">
        <v>2</v>
      </c>
      <c r="D720" s="24">
        <v>0.6</v>
      </c>
      <c r="E720" s="24">
        <v>0.1</v>
      </c>
      <c r="F720" s="28">
        <f>E720*D720*C720</f>
        <v>0.12</v>
      </c>
      <c r="G720" s="24"/>
      <c r="H720" s="24"/>
      <c r="I720" s="45"/>
      <c r="J720" s="46"/>
      <c r="K720" s="22"/>
    </row>
    <row r="721" spans="1:11" ht="16.5">
      <c r="A721" s="129"/>
      <c r="B721" s="31"/>
      <c r="C721" s="24"/>
      <c r="D721" s="24"/>
      <c r="E721" s="24"/>
      <c r="F721" s="28">
        <f>SUM(F716:F720)</f>
        <v>2.115</v>
      </c>
      <c r="G721" s="30">
        <v>5</v>
      </c>
      <c r="H721" s="42">
        <f>F721*G721%</f>
        <v>0.10575000000000001</v>
      </c>
      <c r="I721" s="43">
        <f>F721+H721</f>
        <v>2.2207500000000002</v>
      </c>
      <c r="J721" s="44">
        <f>$D$9</f>
        <v>550</v>
      </c>
      <c r="K721" s="44">
        <f>+J721*I721</f>
        <v>1221.4125000000001</v>
      </c>
    </row>
    <row r="722" spans="1:11" ht="16.5">
      <c r="A722" s="145"/>
      <c r="B722" s="140" t="s">
        <v>110</v>
      </c>
      <c r="C722" s="70"/>
      <c r="D722" s="70"/>
      <c r="E722" s="70"/>
      <c r="F722" s="70"/>
      <c r="G722" s="74"/>
      <c r="H722" s="107"/>
      <c r="I722" s="96"/>
      <c r="J722" s="91"/>
      <c r="K722" s="91"/>
    </row>
    <row r="723" spans="1:11" ht="15.75">
      <c r="A723" s="145"/>
      <c r="B723" s="70" t="s">
        <v>181</v>
      </c>
      <c r="C723" s="70">
        <v>1</v>
      </c>
      <c r="D723" s="70">
        <f>E698</f>
        <v>1.65</v>
      </c>
      <c r="E723" s="70">
        <f>G698</f>
        <v>0.9</v>
      </c>
      <c r="F723" s="107">
        <f aca="true" t="shared" si="31" ref="F723:F728">C723*D723*E723</f>
        <v>1.4849999999999999</v>
      </c>
      <c r="G723" s="74"/>
      <c r="H723" s="107"/>
      <c r="I723" s="96"/>
      <c r="J723" s="91"/>
      <c r="K723" s="91"/>
    </row>
    <row r="724" spans="1:11" ht="15.75">
      <c r="A724" s="145"/>
      <c r="B724" s="70"/>
      <c r="C724" s="70">
        <v>1</v>
      </c>
      <c r="D724" s="70">
        <f>E699</f>
        <v>1.05</v>
      </c>
      <c r="E724" s="70">
        <f>G699</f>
        <v>0.45</v>
      </c>
      <c r="F724" s="107">
        <f t="shared" si="31"/>
        <v>0.47250000000000003</v>
      </c>
      <c r="G724" s="74"/>
      <c r="H724" s="107"/>
      <c r="I724" s="96"/>
      <c r="J724" s="91"/>
      <c r="K724" s="91"/>
    </row>
    <row r="725" spans="1:11" ht="15.75">
      <c r="A725" s="145"/>
      <c r="B725" s="70" t="s">
        <v>280</v>
      </c>
      <c r="C725" s="70">
        <v>1</v>
      </c>
      <c r="D725" s="70">
        <f>D723-E724</f>
        <v>1.2</v>
      </c>
      <c r="E725" s="70">
        <v>0.05</v>
      </c>
      <c r="F725" s="107">
        <f t="shared" si="31"/>
        <v>0.06</v>
      </c>
      <c r="G725" s="74"/>
      <c r="H725" s="107"/>
      <c r="I725" s="96"/>
      <c r="J725" s="91"/>
      <c r="K725" s="91"/>
    </row>
    <row r="726" spans="1:11" ht="15.75">
      <c r="A726" s="145"/>
      <c r="B726" s="70" t="s">
        <v>287</v>
      </c>
      <c r="C726" s="70">
        <v>1</v>
      </c>
      <c r="D726" s="70">
        <f>D723</f>
        <v>1.65</v>
      </c>
      <c r="E726" s="70">
        <v>0.05</v>
      </c>
      <c r="F726" s="107">
        <f t="shared" si="31"/>
        <v>0.0825</v>
      </c>
      <c r="G726" s="74"/>
      <c r="H726" s="107"/>
      <c r="I726" s="96"/>
      <c r="J726" s="91"/>
      <c r="K726" s="91"/>
    </row>
    <row r="727" spans="1:11" ht="15.75">
      <c r="A727" s="145"/>
      <c r="B727" s="70"/>
      <c r="C727" s="70">
        <v>1</v>
      </c>
      <c r="D727" s="70">
        <f>D724</f>
        <v>1.05</v>
      </c>
      <c r="E727" s="70">
        <v>0.05</v>
      </c>
      <c r="F727" s="107">
        <f t="shared" si="31"/>
        <v>0.052500000000000005</v>
      </c>
      <c r="G727" s="74"/>
      <c r="H727" s="107"/>
      <c r="I727" s="96"/>
      <c r="J727" s="91"/>
      <c r="K727" s="91"/>
    </row>
    <row r="728" spans="1:11" ht="15.75">
      <c r="A728" s="145"/>
      <c r="B728" s="70" t="s">
        <v>259</v>
      </c>
      <c r="C728" s="70">
        <v>1</v>
      </c>
      <c r="D728" s="70">
        <f>G698</f>
        <v>0.9</v>
      </c>
      <c r="E728" s="70">
        <f>I698</f>
        <v>0.75</v>
      </c>
      <c r="F728" s="70">
        <f t="shared" si="31"/>
        <v>0.675</v>
      </c>
      <c r="G728" s="74"/>
      <c r="H728" s="107"/>
      <c r="I728" s="96"/>
      <c r="J728" s="91"/>
      <c r="K728" s="91"/>
    </row>
    <row r="729" spans="1:11" ht="15.75">
      <c r="A729" s="145"/>
      <c r="B729" s="70" t="s">
        <v>299</v>
      </c>
      <c r="C729" s="70">
        <v>2</v>
      </c>
      <c r="D729" s="70">
        <v>0.7</v>
      </c>
      <c r="E729" s="70">
        <v>0.05</v>
      </c>
      <c r="F729" s="70">
        <f>C729*D729*E729</f>
        <v>0.06999999999999999</v>
      </c>
      <c r="G729" s="74"/>
      <c r="H729" s="107"/>
      <c r="I729" s="96"/>
      <c r="J729" s="91"/>
      <c r="K729" s="91"/>
    </row>
    <row r="730" spans="1:11" ht="15.75">
      <c r="A730" s="145"/>
      <c r="B730" s="76"/>
      <c r="C730" s="70"/>
      <c r="D730" s="76"/>
      <c r="E730" s="76"/>
      <c r="F730" s="107">
        <f>SUM(F723:F729)</f>
        <v>2.8975000000000004</v>
      </c>
      <c r="G730" s="74">
        <v>5</v>
      </c>
      <c r="H730" s="70">
        <f>F730*G730%</f>
        <v>0.14487500000000003</v>
      </c>
      <c r="I730" s="96">
        <f>F730+H730</f>
        <v>3.0423750000000003</v>
      </c>
      <c r="J730" s="91">
        <f>$D$20</f>
        <v>6300</v>
      </c>
      <c r="K730" s="91">
        <f>+J730*I730</f>
        <v>19166.9625</v>
      </c>
    </row>
    <row r="731" spans="1:11" ht="16.5">
      <c r="A731" s="130"/>
      <c r="B731" s="140" t="s">
        <v>104</v>
      </c>
      <c r="C731" s="24"/>
      <c r="D731" s="24"/>
      <c r="E731" s="24"/>
      <c r="F731" s="24"/>
      <c r="G731" s="24"/>
      <c r="H731" s="28"/>
      <c r="I731" s="90"/>
      <c r="J731" s="15"/>
      <c r="K731" s="15"/>
    </row>
    <row r="732" spans="1:11" ht="15.75">
      <c r="A732" s="130"/>
      <c r="B732" s="139" t="s">
        <v>197</v>
      </c>
      <c r="C732" s="24">
        <v>1</v>
      </c>
      <c r="D732" s="28">
        <f>E698</f>
        <v>1.65</v>
      </c>
      <c r="E732" s="28">
        <f>I698</f>
        <v>0.75</v>
      </c>
      <c r="F732" s="28">
        <f>C732*D732*E732</f>
        <v>1.2374999999999998</v>
      </c>
      <c r="G732" s="24"/>
      <c r="H732" s="28"/>
      <c r="I732" s="90"/>
      <c r="J732" s="15"/>
      <c r="K732" s="15"/>
    </row>
    <row r="733" spans="1:11" ht="15.75">
      <c r="A733" s="130"/>
      <c r="B733" s="24" t="s">
        <v>264</v>
      </c>
      <c r="C733" s="24">
        <v>1</v>
      </c>
      <c r="D733" s="45">
        <v>6</v>
      </c>
      <c r="E733" s="28">
        <v>0.7</v>
      </c>
      <c r="F733" s="24">
        <f>C733*D733*E733</f>
        <v>4.199999999999999</v>
      </c>
      <c r="G733" s="24"/>
      <c r="H733" s="28"/>
      <c r="I733" s="14"/>
      <c r="J733" s="15"/>
      <c r="K733" s="13"/>
    </row>
    <row r="734" spans="1:11" ht="15.75">
      <c r="A734" s="130"/>
      <c r="B734" s="24" t="s">
        <v>200</v>
      </c>
      <c r="C734" s="24">
        <v>1</v>
      </c>
      <c r="D734" s="28">
        <v>0.45</v>
      </c>
      <c r="E734" s="28">
        <v>0.7</v>
      </c>
      <c r="F734" s="28">
        <f>C734*D734*E734</f>
        <v>0.315</v>
      </c>
      <c r="G734" s="24"/>
      <c r="H734" s="28"/>
      <c r="I734" s="14"/>
      <c r="J734" s="15"/>
      <c r="K734" s="13"/>
    </row>
    <row r="735" spans="1:11" ht="15.75">
      <c r="A735" s="130"/>
      <c r="B735" s="24" t="s">
        <v>291</v>
      </c>
      <c r="C735" s="24">
        <v>1</v>
      </c>
      <c r="D735" s="28">
        <v>0.4</v>
      </c>
      <c r="E735" s="28">
        <v>0.7</v>
      </c>
      <c r="F735" s="28">
        <f>C735*D735*E735</f>
        <v>0.27999999999999997</v>
      </c>
      <c r="G735" s="24"/>
      <c r="H735" s="28"/>
      <c r="I735" s="14"/>
      <c r="J735" s="15"/>
      <c r="K735" s="13"/>
    </row>
    <row r="736" spans="1:11" ht="15.75">
      <c r="A736" s="130"/>
      <c r="B736" s="24" t="s">
        <v>200</v>
      </c>
      <c r="C736" s="24">
        <v>1</v>
      </c>
      <c r="D736" s="28">
        <f>D711</f>
        <v>0.75</v>
      </c>
      <c r="E736" s="28">
        <v>0.65</v>
      </c>
      <c r="F736" s="28">
        <f>C736*D736*E736</f>
        <v>0.48750000000000004</v>
      </c>
      <c r="G736" s="24"/>
      <c r="H736" s="28"/>
      <c r="I736" s="14"/>
      <c r="J736" s="15"/>
      <c r="K736" s="13"/>
    </row>
    <row r="737" spans="1:11" ht="15.75">
      <c r="A737" s="130"/>
      <c r="B737" s="24"/>
      <c r="C737" s="24"/>
      <c r="D737" s="24"/>
      <c r="E737" s="24"/>
      <c r="F737" s="28">
        <f>SUM(F732:F736)</f>
        <v>6.52</v>
      </c>
      <c r="G737" s="13">
        <v>5</v>
      </c>
      <c r="H737" s="28">
        <f>F737*G737%</f>
        <v>0.326</v>
      </c>
      <c r="I737" s="53">
        <f>F737+H737</f>
        <v>6.845999999999999</v>
      </c>
      <c r="J737" s="91">
        <f>$D$15</f>
        <v>550</v>
      </c>
      <c r="K737" s="15">
        <f>+J737*I737</f>
        <v>3765.2999999999997</v>
      </c>
    </row>
    <row r="738" spans="1:11" ht="16.5">
      <c r="A738" s="145"/>
      <c r="B738" s="102" t="s">
        <v>265</v>
      </c>
      <c r="C738" s="70"/>
      <c r="D738" s="70"/>
      <c r="E738" s="70"/>
      <c r="F738" s="70"/>
      <c r="G738" s="70"/>
      <c r="H738" s="70"/>
      <c r="I738" s="105"/>
      <c r="J738" s="91"/>
      <c r="K738" s="91"/>
    </row>
    <row r="739" spans="1:11" ht="15.75">
      <c r="A739" s="145"/>
      <c r="B739" s="70" t="s">
        <v>291</v>
      </c>
      <c r="C739" s="70"/>
      <c r="D739" s="70"/>
      <c r="E739" s="70"/>
      <c r="F739" s="70"/>
      <c r="G739" s="70"/>
      <c r="H739" s="70"/>
      <c r="I739" s="105"/>
      <c r="J739" s="91"/>
      <c r="K739" s="91"/>
    </row>
    <row r="740" spans="1:11" ht="15.75">
      <c r="A740" s="145"/>
      <c r="B740" s="70" t="s">
        <v>192</v>
      </c>
      <c r="C740" s="70">
        <v>2</v>
      </c>
      <c r="D740" s="70">
        <v>0.4</v>
      </c>
      <c r="E740" s="70">
        <v>0.6</v>
      </c>
      <c r="F740" s="107">
        <f>C740*D740*E740</f>
        <v>0.48</v>
      </c>
      <c r="G740" s="70"/>
      <c r="H740" s="70"/>
      <c r="I740" s="105"/>
      <c r="J740" s="91"/>
      <c r="K740" s="91"/>
    </row>
    <row r="741" spans="1:11" ht="15.75">
      <c r="A741" s="145"/>
      <c r="B741" s="70" t="s">
        <v>200</v>
      </c>
      <c r="C741" s="70">
        <v>2</v>
      </c>
      <c r="D741" s="70">
        <v>0.45</v>
      </c>
      <c r="E741" s="70">
        <v>0.6</v>
      </c>
      <c r="F741" s="107">
        <f>C741*D741*E741</f>
        <v>0.54</v>
      </c>
      <c r="G741" s="70"/>
      <c r="H741" s="70"/>
      <c r="I741" s="105"/>
      <c r="J741" s="91"/>
      <c r="K741" s="91"/>
    </row>
    <row r="742" spans="1:11" ht="15.75">
      <c r="A742" s="145"/>
      <c r="B742" s="70" t="s">
        <v>193</v>
      </c>
      <c r="C742" s="70">
        <v>3</v>
      </c>
      <c r="D742" s="70">
        <v>0.4</v>
      </c>
      <c r="E742" s="70">
        <v>0.45</v>
      </c>
      <c r="F742" s="107">
        <f>C742*D742*E742</f>
        <v>0.5400000000000001</v>
      </c>
      <c r="G742" s="70"/>
      <c r="H742" s="70"/>
      <c r="I742" s="105"/>
      <c r="J742" s="91"/>
      <c r="K742" s="91"/>
    </row>
    <row r="743" spans="1:11" ht="15.75">
      <c r="A743" s="145"/>
      <c r="B743" s="70" t="s">
        <v>293</v>
      </c>
      <c r="C743" s="70"/>
      <c r="D743" s="70"/>
      <c r="E743" s="70"/>
      <c r="F743" s="107"/>
      <c r="G743" s="70"/>
      <c r="H743" s="70"/>
      <c r="I743" s="105"/>
      <c r="J743" s="91"/>
      <c r="K743" s="91"/>
    </row>
    <row r="744" spans="1:11" ht="15.75">
      <c r="A744" s="145"/>
      <c r="B744" s="70" t="s">
        <v>192</v>
      </c>
      <c r="C744" s="70">
        <v>2</v>
      </c>
      <c r="D744" s="70">
        <v>0.6</v>
      </c>
      <c r="E744" s="70">
        <v>0.6</v>
      </c>
      <c r="F744" s="107">
        <f aca="true" t="shared" si="32" ref="F744:F749">C744*D744*E744</f>
        <v>0.72</v>
      </c>
      <c r="G744" s="70"/>
      <c r="H744" s="70"/>
      <c r="I744" s="105"/>
      <c r="J744" s="91"/>
      <c r="K744" s="91"/>
    </row>
    <row r="745" spans="1:11" ht="15.75">
      <c r="A745" s="145"/>
      <c r="B745" s="70" t="s">
        <v>200</v>
      </c>
      <c r="C745" s="70">
        <v>2</v>
      </c>
      <c r="D745" s="70">
        <v>0.45</v>
      </c>
      <c r="E745" s="70">
        <v>0.6</v>
      </c>
      <c r="F745" s="107">
        <f t="shared" si="32"/>
        <v>0.54</v>
      </c>
      <c r="G745" s="70"/>
      <c r="H745" s="70"/>
      <c r="I745" s="105"/>
      <c r="J745" s="91"/>
      <c r="K745" s="91"/>
    </row>
    <row r="746" spans="1:11" ht="15.75">
      <c r="A746" s="145"/>
      <c r="B746" s="70" t="s">
        <v>193</v>
      </c>
      <c r="C746" s="70">
        <v>2</v>
      </c>
      <c r="D746" s="70">
        <v>0.6</v>
      </c>
      <c r="E746" s="70">
        <v>0.45</v>
      </c>
      <c r="F746" s="107">
        <f t="shared" si="32"/>
        <v>0.54</v>
      </c>
      <c r="G746" s="70"/>
      <c r="H746" s="70"/>
      <c r="I746" s="105"/>
      <c r="J746" s="91"/>
      <c r="K746" s="91"/>
    </row>
    <row r="747" spans="1:11" ht="15.75">
      <c r="A747" s="145"/>
      <c r="B747" s="70" t="s">
        <v>300</v>
      </c>
      <c r="C747" s="70">
        <v>2</v>
      </c>
      <c r="D747" s="70">
        <v>0.45</v>
      </c>
      <c r="E747" s="70">
        <v>0.1</v>
      </c>
      <c r="F747" s="107">
        <f t="shared" si="32"/>
        <v>0.09000000000000001</v>
      </c>
      <c r="G747" s="70"/>
      <c r="H747" s="70"/>
      <c r="I747" s="105"/>
      <c r="J747" s="91"/>
      <c r="K747" s="91"/>
    </row>
    <row r="748" spans="1:11" ht="15.75">
      <c r="A748" s="145"/>
      <c r="B748" s="70" t="s">
        <v>197</v>
      </c>
      <c r="C748" s="70">
        <v>1</v>
      </c>
      <c r="D748" s="70">
        <f>1.65-0.45</f>
        <v>1.2</v>
      </c>
      <c r="E748" s="70">
        <v>0.75</v>
      </c>
      <c r="F748" s="107">
        <f t="shared" si="32"/>
        <v>0.8999999999999999</v>
      </c>
      <c r="G748" s="70"/>
      <c r="H748" s="70"/>
      <c r="I748" s="105"/>
      <c r="J748" s="91"/>
      <c r="K748" s="91"/>
    </row>
    <row r="749" spans="1:11" ht="15.75">
      <c r="A749" s="145"/>
      <c r="B749" s="70" t="s">
        <v>200</v>
      </c>
      <c r="C749" s="70">
        <v>1</v>
      </c>
      <c r="D749" s="70">
        <f>1.05-0.6</f>
        <v>0.45000000000000007</v>
      </c>
      <c r="E749" s="70">
        <v>0.75</v>
      </c>
      <c r="F749" s="107">
        <f t="shared" si="32"/>
        <v>0.3375</v>
      </c>
      <c r="G749" s="70"/>
      <c r="H749" s="70"/>
      <c r="I749" s="105"/>
      <c r="J749" s="91"/>
      <c r="K749" s="91"/>
    </row>
    <row r="750" spans="1:11" ht="15.75">
      <c r="A750" s="145"/>
      <c r="B750" s="70"/>
      <c r="C750" s="70"/>
      <c r="D750" s="70"/>
      <c r="E750" s="70"/>
      <c r="F750" s="107">
        <f>SUM(F739:F749)</f>
        <v>4.6875</v>
      </c>
      <c r="G750" s="74"/>
      <c r="H750" s="70"/>
      <c r="I750" s="96">
        <f>F750</f>
        <v>4.6875</v>
      </c>
      <c r="J750" s="91">
        <f>$D$28</f>
        <v>120</v>
      </c>
      <c r="K750" s="91">
        <f>+J750*I750</f>
        <v>562.5</v>
      </c>
    </row>
    <row r="751" spans="1:11" ht="16.5">
      <c r="A751" s="145"/>
      <c r="B751" s="102" t="s">
        <v>271</v>
      </c>
      <c r="C751" s="70">
        <v>1</v>
      </c>
      <c r="D751" s="110">
        <f>F737</f>
        <v>6.52</v>
      </c>
      <c r="E751" s="70">
        <v>3</v>
      </c>
      <c r="F751" s="106">
        <f>C751*D751/E751</f>
        <v>2.1733333333333333</v>
      </c>
      <c r="G751" s="70"/>
      <c r="H751" s="70"/>
      <c r="I751" s="105">
        <f>F751</f>
        <v>2.1733333333333333</v>
      </c>
      <c r="J751" s="91">
        <f>$D$27</f>
        <v>225</v>
      </c>
      <c r="K751" s="91">
        <f>+J751*I751</f>
        <v>489</v>
      </c>
    </row>
    <row r="752" spans="1:11" ht="16.5">
      <c r="A752" s="130"/>
      <c r="B752" s="25" t="s">
        <v>269</v>
      </c>
      <c r="C752" s="24"/>
      <c r="D752" s="45"/>
      <c r="E752" s="24"/>
      <c r="F752" s="45"/>
      <c r="G752" s="13"/>
      <c r="H752" s="24"/>
      <c r="I752" s="53"/>
      <c r="J752" s="91"/>
      <c r="K752" s="15"/>
    </row>
    <row r="753" spans="1:11" ht="15.75">
      <c r="A753" s="130"/>
      <c r="B753" s="24" t="s">
        <v>294</v>
      </c>
      <c r="C753" s="24">
        <v>2</v>
      </c>
      <c r="D753" s="28">
        <v>0.65</v>
      </c>
      <c r="E753" s="24"/>
      <c r="F753" s="45">
        <f>D753*C753</f>
        <v>1.3</v>
      </c>
      <c r="G753" s="13"/>
      <c r="H753" s="24"/>
      <c r="I753" s="53"/>
      <c r="J753" s="91"/>
      <c r="K753" s="15"/>
    </row>
    <row r="754" spans="1:11" ht="15.75">
      <c r="A754" s="130"/>
      <c r="B754" s="24" t="s">
        <v>295</v>
      </c>
      <c r="C754" s="24">
        <v>2</v>
      </c>
      <c r="D754" s="28">
        <v>0.65</v>
      </c>
      <c r="E754" s="24"/>
      <c r="F754" s="45">
        <f>D754*C754</f>
        <v>1.3</v>
      </c>
      <c r="G754" s="13"/>
      <c r="H754" s="24"/>
      <c r="I754" s="53"/>
      <c r="J754" s="91"/>
      <c r="K754" s="15"/>
    </row>
    <row r="755" spans="1:11" ht="15.75">
      <c r="A755" s="130"/>
      <c r="B755" s="24" t="s">
        <v>208</v>
      </c>
      <c r="C755" s="24">
        <v>4</v>
      </c>
      <c r="D755" s="28">
        <v>0.65</v>
      </c>
      <c r="E755" s="24"/>
      <c r="F755" s="45">
        <f>D755*C755</f>
        <v>2.6</v>
      </c>
      <c r="G755" s="13"/>
      <c r="H755" s="24"/>
      <c r="I755" s="53"/>
      <c r="J755" s="91"/>
      <c r="K755" s="15"/>
    </row>
    <row r="756" spans="1:11" ht="15.75">
      <c r="A756" s="130"/>
      <c r="B756" s="24"/>
      <c r="C756" s="24">
        <v>2</v>
      </c>
      <c r="D756" s="28">
        <v>0.6</v>
      </c>
      <c r="E756" s="24"/>
      <c r="F756" s="45">
        <f>D756*C756</f>
        <v>1.2</v>
      </c>
      <c r="G756" s="13"/>
      <c r="H756" s="24"/>
      <c r="I756" s="53"/>
      <c r="J756" s="91"/>
      <c r="K756" s="15"/>
    </row>
    <row r="757" spans="1:11" ht="15.75">
      <c r="A757" s="130"/>
      <c r="B757" s="24"/>
      <c r="C757" s="24"/>
      <c r="D757" s="45"/>
      <c r="E757" s="24"/>
      <c r="F757" s="45">
        <f>SUM(F753:F756)</f>
        <v>6.4</v>
      </c>
      <c r="G757" s="13"/>
      <c r="H757" s="24"/>
      <c r="I757" s="53">
        <f>F757+H757</f>
        <v>6.4</v>
      </c>
      <c r="J757" s="91">
        <f>$I$117</f>
        <v>12</v>
      </c>
      <c r="K757" s="15">
        <f>+J757*I757</f>
        <v>76.80000000000001</v>
      </c>
    </row>
    <row r="758" spans="1:11" ht="16.5">
      <c r="A758" s="130"/>
      <c r="B758" s="25" t="s">
        <v>270</v>
      </c>
      <c r="C758" s="24"/>
      <c r="D758" s="45"/>
      <c r="E758" s="24"/>
      <c r="F758" s="45"/>
      <c r="G758" s="13"/>
      <c r="H758" s="24"/>
      <c r="I758" s="53"/>
      <c r="J758" s="91"/>
      <c r="K758" s="15"/>
    </row>
    <row r="759" spans="1:11" ht="15.75">
      <c r="A759" s="130"/>
      <c r="B759" s="24" t="s">
        <v>291</v>
      </c>
      <c r="C759" s="24">
        <f>2*3</f>
        <v>6</v>
      </c>
      <c r="D759" s="28">
        <v>0.4</v>
      </c>
      <c r="E759" s="24"/>
      <c r="F759" s="45">
        <f>D759*C759</f>
        <v>2.4000000000000004</v>
      </c>
      <c r="G759" s="13"/>
      <c r="H759" s="24"/>
      <c r="I759" s="53"/>
      <c r="J759" s="91"/>
      <c r="K759" s="15"/>
    </row>
    <row r="760" spans="1:11" ht="15.75">
      <c r="A760" s="130"/>
      <c r="B760" s="24"/>
      <c r="C760" s="24">
        <f>2*3</f>
        <v>6</v>
      </c>
      <c r="D760" s="28">
        <v>0.45</v>
      </c>
      <c r="E760" s="24"/>
      <c r="F760" s="45">
        <f>D760*C760</f>
        <v>2.7</v>
      </c>
      <c r="G760" s="13"/>
      <c r="H760" s="24"/>
      <c r="I760" s="53"/>
      <c r="J760" s="91"/>
      <c r="K760" s="15"/>
    </row>
    <row r="761" spans="1:11" ht="15.75">
      <c r="A761" s="130"/>
      <c r="B761" s="24" t="s">
        <v>286</v>
      </c>
      <c r="C761" s="24">
        <v>4</v>
      </c>
      <c r="D761" s="28">
        <v>0.45</v>
      </c>
      <c r="E761" s="24"/>
      <c r="F761" s="45">
        <f>D761*C761</f>
        <v>1.8</v>
      </c>
      <c r="G761" s="13"/>
      <c r="H761" s="24"/>
      <c r="I761" s="53"/>
      <c r="J761" s="91"/>
      <c r="K761" s="15"/>
    </row>
    <row r="762" spans="1:11" ht="15.75">
      <c r="A762" s="130"/>
      <c r="B762" s="24"/>
      <c r="C762" s="24">
        <v>2</v>
      </c>
      <c r="D762" s="28">
        <v>0.6</v>
      </c>
      <c r="E762" s="24"/>
      <c r="F762" s="45">
        <f>D762*C762</f>
        <v>1.2</v>
      </c>
      <c r="G762" s="13"/>
      <c r="H762" s="24"/>
      <c r="I762" s="53"/>
      <c r="J762" s="91"/>
      <c r="K762" s="15"/>
    </row>
    <row r="763" spans="1:11" ht="16.5">
      <c r="A763" s="130"/>
      <c r="B763" s="140"/>
      <c r="C763" s="24"/>
      <c r="D763" s="45"/>
      <c r="E763" s="24"/>
      <c r="F763" s="45">
        <f>SUM(F759:F762)</f>
        <v>8.1</v>
      </c>
      <c r="G763" s="13"/>
      <c r="H763" s="24"/>
      <c r="I763" s="53">
        <f>F763+H763</f>
        <v>8.1</v>
      </c>
      <c r="J763" s="91">
        <f>$I$125</f>
        <v>9</v>
      </c>
      <c r="K763" s="15">
        <f>+J763*I763</f>
        <v>72.89999999999999</v>
      </c>
    </row>
    <row r="764" spans="1:11" ht="16.5">
      <c r="A764" s="129"/>
      <c r="B764" s="40" t="s">
        <v>214</v>
      </c>
      <c r="C764" s="24"/>
      <c r="D764" s="24"/>
      <c r="E764" s="24"/>
      <c r="F764" s="24"/>
      <c r="G764" s="24"/>
      <c r="H764" s="24"/>
      <c r="I764" s="45"/>
      <c r="J764" s="46"/>
      <c r="K764" s="22"/>
    </row>
    <row r="765" spans="1:11" ht="16.5">
      <c r="A765" s="129"/>
      <c r="B765" s="31" t="s">
        <v>215</v>
      </c>
      <c r="C765" s="24">
        <v>1</v>
      </c>
      <c r="D765" s="24"/>
      <c r="E765" s="24"/>
      <c r="F765" s="28">
        <f>C765</f>
        <v>1</v>
      </c>
      <c r="G765" s="24"/>
      <c r="H765" s="42">
        <f>F765*G765%</f>
        <v>0</v>
      </c>
      <c r="I765" s="49">
        <f>F765+H765</f>
        <v>1</v>
      </c>
      <c r="J765" s="46">
        <f>$D$36</f>
        <v>250</v>
      </c>
      <c r="K765" s="44">
        <f>+J765*I765</f>
        <v>250</v>
      </c>
    </row>
    <row r="766" spans="1:11" ht="16.5">
      <c r="A766" s="129"/>
      <c r="B766" s="31" t="s">
        <v>216</v>
      </c>
      <c r="C766" s="24">
        <v>1</v>
      </c>
      <c r="D766" s="24"/>
      <c r="E766" s="24"/>
      <c r="F766" s="28">
        <f>C766</f>
        <v>1</v>
      </c>
      <c r="G766" s="24"/>
      <c r="H766" s="42">
        <f>F766*G766%</f>
        <v>0</v>
      </c>
      <c r="I766" s="49">
        <f>F766+H766</f>
        <v>1</v>
      </c>
      <c r="J766" s="46">
        <f>$D$32</f>
        <v>1000</v>
      </c>
      <c r="K766" s="44">
        <f>+J766*I766</f>
        <v>1000</v>
      </c>
    </row>
    <row r="767" spans="1:11" ht="16.5">
      <c r="A767" s="129"/>
      <c r="B767" s="31" t="s">
        <v>217</v>
      </c>
      <c r="C767" s="24">
        <v>1</v>
      </c>
      <c r="D767" s="24"/>
      <c r="E767" s="24"/>
      <c r="F767" s="28">
        <f>C767</f>
        <v>1</v>
      </c>
      <c r="G767" s="24"/>
      <c r="H767" s="42">
        <f>F767*G767%</f>
        <v>0</v>
      </c>
      <c r="I767" s="49">
        <f>F767+H767</f>
        <v>1</v>
      </c>
      <c r="J767" s="46">
        <f>$D$34</f>
        <v>1100</v>
      </c>
      <c r="K767" s="44">
        <f>+J767*I767</f>
        <v>1100</v>
      </c>
    </row>
    <row r="768" spans="1:11" ht="16.5">
      <c r="A768" s="129"/>
      <c r="B768" s="31" t="s">
        <v>218</v>
      </c>
      <c r="C768" s="24">
        <v>5</v>
      </c>
      <c r="D768" s="24"/>
      <c r="E768" s="24"/>
      <c r="F768" s="28">
        <f>C768</f>
        <v>5</v>
      </c>
      <c r="G768" s="24"/>
      <c r="H768" s="42">
        <f>F768*G768%</f>
        <v>0</v>
      </c>
      <c r="I768" s="49">
        <f>F768+H768</f>
        <v>5</v>
      </c>
      <c r="J768" s="46">
        <f>$D$37</f>
        <v>125</v>
      </c>
      <c r="K768" s="44">
        <f>+J768*I768</f>
        <v>625</v>
      </c>
    </row>
    <row r="769" spans="1:11" ht="16.5">
      <c r="A769" s="129"/>
      <c r="B769" s="31" t="s">
        <v>219</v>
      </c>
      <c r="C769" s="24">
        <v>1</v>
      </c>
      <c r="D769" s="24"/>
      <c r="E769" s="24"/>
      <c r="F769" s="28">
        <f>C769</f>
        <v>1</v>
      </c>
      <c r="G769" s="24"/>
      <c r="H769" s="42">
        <f>F769*G769%</f>
        <v>0</v>
      </c>
      <c r="I769" s="49">
        <f>F769+H769</f>
        <v>1</v>
      </c>
      <c r="J769" s="46">
        <f>$D$38</f>
        <v>100</v>
      </c>
      <c r="K769" s="44">
        <f>+J769*I769</f>
        <v>100</v>
      </c>
    </row>
    <row r="770" spans="1:11" ht="16.5">
      <c r="A770" s="129"/>
      <c r="B770" s="31" t="s">
        <v>220</v>
      </c>
      <c r="C770" s="24"/>
      <c r="D770" s="24"/>
      <c r="E770" s="24"/>
      <c r="F770" s="28"/>
      <c r="G770" s="24"/>
      <c r="H770" s="42"/>
      <c r="I770" s="49"/>
      <c r="J770" s="46">
        <f>$D$40</f>
        <v>125</v>
      </c>
      <c r="K770" s="44"/>
    </row>
    <row r="771" spans="1:11" ht="19.5" customHeight="1">
      <c r="A771" s="129"/>
      <c r="B771" s="31" t="s">
        <v>221</v>
      </c>
      <c r="C771" s="24">
        <v>7</v>
      </c>
      <c r="D771" s="24"/>
      <c r="E771" s="24"/>
      <c r="F771" s="28">
        <f>C771</f>
        <v>7</v>
      </c>
      <c r="G771" s="24"/>
      <c r="H771" s="42">
        <f>F771*G771%</f>
        <v>0</v>
      </c>
      <c r="I771" s="49">
        <f>F771+H771</f>
        <v>7</v>
      </c>
      <c r="J771" s="46">
        <f>$D$39</f>
        <v>200</v>
      </c>
      <c r="K771" s="44">
        <f>+J771*I771</f>
        <v>1400</v>
      </c>
    </row>
    <row r="772" spans="1:11" ht="15.75">
      <c r="A772" s="130"/>
      <c r="B772" s="24" t="s">
        <v>273</v>
      </c>
      <c r="C772" s="24">
        <v>5</v>
      </c>
      <c r="D772" s="24"/>
      <c r="E772" s="24"/>
      <c r="F772" s="28">
        <f>C772</f>
        <v>5</v>
      </c>
      <c r="G772" s="24"/>
      <c r="H772" s="42">
        <f>F772*G772%</f>
        <v>0</v>
      </c>
      <c r="I772" s="49">
        <f>F772+H772</f>
        <v>5</v>
      </c>
      <c r="J772" s="46">
        <f>$D$36</f>
        <v>250</v>
      </c>
      <c r="K772" s="44">
        <f>+J772*I772</f>
        <v>1250</v>
      </c>
    </row>
    <row r="773" spans="1:11" ht="15.75">
      <c r="A773" s="130"/>
      <c r="B773" s="24" t="s">
        <v>274</v>
      </c>
      <c r="C773" s="24">
        <v>1</v>
      </c>
      <c r="D773" s="24"/>
      <c r="E773" s="24"/>
      <c r="F773" s="24"/>
      <c r="G773" s="24"/>
      <c r="H773" s="24"/>
      <c r="I773" s="14"/>
      <c r="J773" s="15"/>
      <c r="K773" s="15">
        <v>400</v>
      </c>
    </row>
    <row r="774" spans="1:11" ht="15.75">
      <c r="A774" s="130"/>
      <c r="B774" s="24" t="s">
        <v>275</v>
      </c>
      <c r="C774" s="24"/>
      <c r="D774" s="24"/>
      <c r="E774" s="28"/>
      <c r="F774" s="24"/>
      <c r="G774" s="24"/>
      <c r="H774" s="24"/>
      <c r="I774" s="93">
        <f>K698+K699</f>
        <v>1.9575</v>
      </c>
      <c r="J774" s="15">
        <v>2500</v>
      </c>
      <c r="K774" s="15">
        <f>+J774*I774</f>
        <v>4893.75</v>
      </c>
    </row>
    <row r="775" spans="1:11" ht="16.5">
      <c r="A775" s="145"/>
      <c r="B775" s="25" t="s">
        <v>14</v>
      </c>
      <c r="C775" s="30"/>
      <c r="D775" s="30"/>
      <c r="E775" s="30"/>
      <c r="F775" s="30"/>
      <c r="G775" s="30"/>
      <c r="H775" s="30"/>
      <c r="I775" s="43"/>
      <c r="J775" s="44"/>
      <c r="K775" s="51">
        <f>SUM(K703:K774)</f>
        <v>42555.696875</v>
      </c>
    </row>
    <row r="776" spans="1:11" ht="15.75">
      <c r="A776" s="145"/>
      <c r="B776" s="16" t="str">
        <f>$B$7</f>
        <v>Add Towards Overhead and Profit</v>
      </c>
      <c r="C776" s="60"/>
      <c r="D776" s="52"/>
      <c r="E776" s="52"/>
      <c r="F776" s="18">
        <f>$F$7</f>
        <v>15</v>
      </c>
      <c r="G776" s="24"/>
      <c r="H776" s="24"/>
      <c r="I776" s="53"/>
      <c r="J776" s="15"/>
      <c r="K776" s="46">
        <f>+K775*F776%</f>
        <v>6383.35453125</v>
      </c>
    </row>
    <row r="777" spans="1:11" ht="15.75">
      <c r="A777" s="145"/>
      <c r="B777" s="16" t="s">
        <v>223</v>
      </c>
      <c r="C777" s="60"/>
      <c r="D777" s="52"/>
      <c r="E777" s="52"/>
      <c r="F777" s="18"/>
      <c r="G777" s="24"/>
      <c r="H777" s="24"/>
      <c r="I777" s="53"/>
      <c r="J777" s="15"/>
      <c r="K777" s="46">
        <f>SUM(K775:K776)</f>
        <v>48939.05140625</v>
      </c>
    </row>
    <row r="778" spans="1:11" ht="17.25">
      <c r="A778" s="145"/>
      <c r="B778" s="70"/>
      <c r="C778" s="70"/>
      <c r="D778" s="70"/>
      <c r="E778" s="70"/>
      <c r="F778" s="70"/>
      <c r="G778" s="70"/>
      <c r="H778" s="70"/>
      <c r="I778" s="119" t="s">
        <v>224</v>
      </c>
      <c r="J778" s="112"/>
      <c r="K778" s="55">
        <v>50000</v>
      </c>
    </row>
    <row r="779" spans="1:11" ht="17.25">
      <c r="A779" s="145"/>
      <c r="B779" s="70"/>
      <c r="C779" s="70"/>
      <c r="D779" s="70"/>
      <c r="E779" s="70"/>
      <c r="F779" s="70"/>
      <c r="G779" s="70"/>
      <c r="H779" s="70"/>
      <c r="I779" s="119"/>
      <c r="J779" s="112"/>
      <c r="K779" s="55"/>
    </row>
    <row r="780" spans="1:11" ht="16.5" customHeight="1">
      <c r="A780" s="132">
        <f>A698+1</f>
        <v>16</v>
      </c>
      <c r="B780" s="40" t="s">
        <v>346</v>
      </c>
      <c r="C780" s="25"/>
      <c r="D780" s="25"/>
      <c r="E780" s="25">
        <v>2.6</v>
      </c>
      <c r="F780" s="25" t="s">
        <v>225</v>
      </c>
      <c r="G780" s="25">
        <v>0.8</v>
      </c>
      <c r="H780" s="25" t="s">
        <v>225</v>
      </c>
      <c r="I780" s="25">
        <v>1.05</v>
      </c>
      <c r="J780" s="26" t="s">
        <v>225</v>
      </c>
      <c r="K780" s="102">
        <f>G780*E780</f>
        <v>2.08</v>
      </c>
    </row>
    <row r="781" spans="1:11" ht="16.5">
      <c r="A781" s="145"/>
      <c r="B781" s="102" t="s">
        <v>279</v>
      </c>
      <c r="C781" s="70"/>
      <c r="D781" s="70"/>
      <c r="E781" s="70"/>
      <c r="F781" s="70"/>
      <c r="G781" s="70"/>
      <c r="H781" s="70"/>
      <c r="I781" s="105"/>
      <c r="J781" s="91"/>
      <c r="K781" s="91"/>
    </row>
    <row r="782" spans="1:11" ht="15.75">
      <c r="A782" s="145"/>
      <c r="B782" s="70" t="s">
        <v>181</v>
      </c>
      <c r="C782" s="70">
        <v>1</v>
      </c>
      <c r="D782" s="70">
        <f>E780-0.15</f>
        <v>2.45</v>
      </c>
      <c r="E782" s="70">
        <v>0.6</v>
      </c>
      <c r="F782" s="107">
        <f>C782*D782*E782</f>
        <v>1.47</v>
      </c>
      <c r="G782" s="74">
        <v>5</v>
      </c>
      <c r="H782" s="107">
        <f>F782*G782%</f>
        <v>0.0735</v>
      </c>
      <c r="I782" s="96">
        <f>F782+H782</f>
        <v>1.5434999999999999</v>
      </c>
      <c r="J782" s="91">
        <f>$D$11</f>
        <v>1325</v>
      </c>
      <c r="K782" s="91">
        <f>+J782*I782</f>
        <v>2045.1374999999998</v>
      </c>
    </row>
    <row r="783" spans="1:11" ht="16.5">
      <c r="A783" s="145"/>
      <c r="B783" s="140" t="s">
        <v>97</v>
      </c>
      <c r="C783" s="70"/>
      <c r="D783" s="70"/>
      <c r="E783" s="70"/>
      <c r="F783" s="107"/>
      <c r="G783" s="70"/>
      <c r="H783" s="107"/>
      <c r="I783" s="77"/>
      <c r="J783" s="91"/>
      <c r="K783" s="74"/>
    </row>
    <row r="784" spans="1:11" ht="15.75">
      <c r="A784" s="145"/>
      <c r="B784" s="70" t="s">
        <v>290</v>
      </c>
      <c r="C784" s="70">
        <v>1</v>
      </c>
      <c r="D784" s="70">
        <f>D782</f>
        <v>2.45</v>
      </c>
      <c r="E784" s="70">
        <v>0.075</v>
      </c>
      <c r="F784" s="107">
        <f aca="true" t="shared" si="33" ref="F784:F792">C784*D784*E784</f>
        <v>0.18375</v>
      </c>
      <c r="G784" s="70"/>
      <c r="H784" s="107"/>
      <c r="I784" s="77"/>
      <c r="J784" s="91"/>
      <c r="K784" s="74"/>
    </row>
    <row r="785" spans="1:11" ht="15.75">
      <c r="A785" s="145"/>
      <c r="B785" s="70" t="s">
        <v>306</v>
      </c>
      <c r="C785" s="70">
        <v>2</v>
      </c>
      <c r="D785" s="70">
        <v>0.8</v>
      </c>
      <c r="E785" s="70">
        <v>1.05</v>
      </c>
      <c r="F785" s="107">
        <f t="shared" si="33"/>
        <v>1.6800000000000002</v>
      </c>
      <c r="G785" s="70"/>
      <c r="H785" s="107"/>
      <c r="I785" s="77"/>
      <c r="J785" s="91"/>
      <c r="K785" s="74"/>
    </row>
    <row r="786" spans="1:11" ht="15.75">
      <c r="A786" s="145"/>
      <c r="B786" s="70"/>
      <c r="C786" s="70">
        <v>2</v>
      </c>
      <c r="D786" s="70">
        <v>0.6</v>
      </c>
      <c r="E786" s="70">
        <v>1.05</v>
      </c>
      <c r="F786" s="107">
        <f t="shared" si="33"/>
        <v>1.26</v>
      </c>
      <c r="G786" s="70"/>
      <c r="H786" s="107"/>
      <c r="I786" s="77"/>
      <c r="J786" s="91"/>
      <c r="K786" s="74"/>
    </row>
    <row r="787" spans="1:11" ht="15.75">
      <c r="A787" s="145"/>
      <c r="B787" s="70"/>
      <c r="C787" s="70">
        <v>2</v>
      </c>
      <c r="D787" s="70">
        <v>0.075</v>
      </c>
      <c r="E787" s="70">
        <v>1.05</v>
      </c>
      <c r="F787" s="107">
        <f t="shared" si="33"/>
        <v>0.1575</v>
      </c>
      <c r="G787" s="70"/>
      <c r="H787" s="107"/>
      <c r="I787" s="77"/>
      <c r="J787" s="91"/>
      <c r="K787" s="74"/>
    </row>
    <row r="788" spans="1:11" ht="15.75">
      <c r="A788" s="145"/>
      <c r="B788" s="70" t="s">
        <v>347</v>
      </c>
      <c r="C788" s="70">
        <v>1</v>
      </c>
      <c r="D788" s="70">
        <v>2.45</v>
      </c>
      <c r="E788" s="70">
        <f>I780</f>
        <v>1.05</v>
      </c>
      <c r="F788" s="107">
        <f t="shared" si="33"/>
        <v>2.5725000000000002</v>
      </c>
      <c r="G788" s="70"/>
      <c r="H788" s="107"/>
      <c r="I788" s="77"/>
      <c r="J788" s="91"/>
      <c r="K788" s="74"/>
    </row>
    <row r="789" spans="1:11" ht="15.75">
      <c r="A789" s="145"/>
      <c r="B789" s="70" t="s">
        <v>281</v>
      </c>
      <c r="C789" s="70">
        <v>1</v>
      </c>
      <c r="D789" s="70">
        <f>E780</f>
        <v>2.6</v>
      </c>
      <c r="E789" s="70">
        <f>I780</f>
        <v>1.05</v>
      </c>
      <c r="F789" s="107">
        <f t="shared" si="33"/>
        <v>2.7300000000000004</v>
      </c>
      <c r="G789" s="70"/>
      <c r="H789" s="107"/>
      <c r="I789" s="77"/>
      <c r="J789" s="91"/>
      <c r="K789" s="74"/>
    </row>
    <row r="790" spans="1:11" ht="15.75">
      <c r="A790" s="145"/>
      <c r="B790" s="70" t="s">
        <v>258</v>
      </c>
      <c r="C790" s="70">
        <v>2</v>
      </c>
      <c r="D790" s="70">
        <v>0.6</v>
      </c>
      <c r="E790" s="70">
        <v>0.075</v>
      </c>
      <c r="F790" s="107">
        <f t="shared" si="33"/>
        <v>0.09</v>
      </c>
      <c r="G790" s="70"/>
      <c r="H790" s="107"/>
      <c r="I790" s="77"/>
      <c r="J790" s="91"/>
      <c r="K790" s="74"/>
    </row>
    <row r="791" spans="1:11" ht="15.75">
      <c r="A791" s="145"/>
      <c r="B791" s="70"/>
      <c r="C791" s="70">
        <v>2</v>
      </c>
      <c r="D791" s="70">
        <v>1</v>
      </c>
      <c r="E791" s="70">
        <v>0.2</v>
      </c>
      <c r="F791" s="107">
        <f t="shared" si="33"/>
        <v>0.4</v>
      </c>
      <c r="G791" s="70"/>
      <c r="H791" s="107"/>
      <c r="I791" s="77"/>
      <c r="J791" s="91"/>
      <c r="K791" s="74"/>
    </row>
    <row r="792" spans="1:11" ht="15.75">
      <c r="A792" s="145"/>
      <c r="B792" s="70"/>
      <c r="C792" s="70">
        <v>1</v>
      </c>
      <c r="D792" s="70">
        <v>0.6</v>
      </c>
      <c r="E792" s="70">
        <v>0.25</v>
      </c>
      <c r="F792" s="107">
        <f t="shared" si="33"/>
        <v>0.15</v>
      </c>
      <c r="G792" s="70"/>
      <c r="H792" s="107"/>
      <c r="I792" s="77"/>
      <c r="J792" s="91"/>
      <c r="K792" s="74"/>
    </row>
    <row r="793" spans="1:11" ht="16.5">
      <c r="A793" s="129"/>
      <c r="B793" s="31" t="s">
        <v>185</v>
      </c>
      <c r="C793" s="24">
        <v>3</v>
      </c>
      <c r="D793" s="24">
        <v>0.6</v>
      </c>
      <c r="E793" s="24">
        <v>0.75</v>
      </c>
      <c r="F793" s="28">
        <f>E793*D793*C793</f>
        <v>1.3499999999999999</v>
      </c>
      <c r="G793" s="24"/>
      <c r="H793" s="24"/>
      <c r="I793" s="45"/>
      <c r="J793" s="46"/>
      <c r="K793" s="22"/>
    </row>
    <row r="794" spans="1:11" ht="15.75">
      <c r="A794" s="145"/>
      <c r="B794" s="70"/>
      <c r="C794" s="70"/>
      <c r="D794" s="70"/>
      <c r="E794" s="70"/>
      <c r="F794" s="107">
        <f>SUM(F783:F793)</f>
        <v>10.573750000000002</v>
      </c>
      <c r="G794" s="74">
        <v>5</v>
      </c>
      <c r="H794" s="107">
        <f>F794*G794%</f>
        <v>0.5286875000000001</v>
      </c>
      <c r="I794" s="96">
        <f>F794+H794</f>
        <v>11.102437500000002</v>
      </c>
      <c r="J794" s="91">
        <f>$D$8</f>
        <v>800</v>
      </c>
      <c r="K794" s="91">
        <f>+J794*I794</f>
        <v>8881.950000000003</v>
      </c>
    </row>
    <row r="795" spans="1:11" ht="16.5">
      <c r="A795" s="129"/>
      <c r="B795" s="40" t="s">
        <v>188</v>
      </c>
      <c r="C795" s="24"/>
      <c r="D795" s="24"/>
      <c r="E795" s="24"/>
      <c r="F795" s="28"/>
      <c r="G795" s="30"/>
      <c r="H795" s="42"/>
      <c r="I795" s="43"/>
      <c r="J795" s="44"/>
      <c r="K795" s="44"/>
    </row>
    <row r="796" spans="1:11" ht="16.5">
      <c r="A796" s="129"/>
      <c r="B796" s="31" t="s">
        <v>191</v>
      </c>
      <c r="C796" s="24">
        <f>2*2</f>
        <v>4</v>
      </c>
      <c r="D796" s="24">
        <v>0.45</v>
      </c>
      <c r="E796" s="24">
        <v>0.75</v>
      </c>
      <c r="F796" s="28">
        <f aca="true" t="shared" si="34" ref="F796:F802">E796*D796*C796</f>
        <v>1.35</v>
      </c>
      <c r="G796" s="24"/>
      <c r="H796" s="24"/>
      <c r="I796" s="45"/>
      <c r="J796" s="46"/>
      <c r="K796" s="22"/>
    </row>
    <row r="797" spans="1:11" ht="16.5">
      <c r="A797" s="129"/>
      <c r="B797" s="31" t="s">
        <v>192</v>
      </c>
      <c r="C797" s="24">
        <f>2*2</f>
        <v>4</v>
      </c>
      <c r="D797" s="24">
        <v>0.4</v>
      </c>
      <c r="E797" s="24">
        <v>0.75</v>
      </c>
      <c r="F797" s="28">
        <f t="shared" si="34"/>
        <v>1.2000000000000002</v>
      </c>
      <c r="G797" s="24"/>
      <c r="H797" s="24"/>
      <c r="I797" s="45"/>
      <c r="J797" s="46"/>
      <c r="K797" s="22"/>
    </row>
    <row r="798" spans="1:11" ht="16.5">
      <c r="A798" s="129"/>
      <c r="B798" s="31" t="s">
        <v>193</v>
      </c>
      <c r="C798" s="24">
        <f>3*2</f>
        <v>6</v>
      </c>
      <c r="D798" s="24">
        <v>0.4</v>
      </c>
      <c r="E798" s="24">
        <v>0.45</v>
      </c>
      <c r="F798" s="28">
        <f t="shared" si="34"/>
        <v>1.08</v>
      </c>
      <c r="G798" s="24"/>
      <c r="H798" s="24"/>
      <c r="I798" s="45"/>
      <c r="J798" s="46"/>
      <c r="K798" s="22"/>
    </row>
    <row r="799" spans="1:11" ht="16.5">
      <c r="A799" s="129"/>
      <c r="B799" s="31" t="s">
        <v>308</v>
      </c>
      <c r="C799" s="24">
        <v>1</v>
      </c>
      <c r="D799" s="24">
        <f>D782</f>
        <v>2.45</v>
      </c>
      <c r="E799" s="24">
        <v>0.1</v>
      </c>
      <c r="F799" s="28">
        <f t="shared" si="34"/>
        <v>0.24500000000000002</v>
      </c>
      <c r="G799" s="24"/>
      <c r="H799" s="24"/>
      <c r="I799" s="45"/>
      <c r="J799" s="46"/>
      <c r="K799" s="22"/>
    </row>
    <row r="800" spans="1:11" ht="16.5">
      <c r="A800" s="129"/>
      <c r="B800" s="31"/>
      <c r="C800" s="24">
        <v>2</v>
      </c>
      <c r="D800" s="24">
        <f>G780</f>
        <v>0.8</v>
      </c>
      <c r="E800" s="24">
        <v>0.1</v>
      </c>
      <c r="F800" s="28">
        <f t="shared" si="34"/>
        <v>0.16000000000000003</v>
      </c>
      <c r="G800" s="24"/>
      <c r="H800" s="24"/>
      <c r="I800" s="45"/>
      <c r="J800" s="46"/>
      <c r="K800" s="22"/>
    </row>
    <row r="801" spans="1:11" ht="16.5">
      <c r="A801" s="129"/>
      <c r="B801" s="31" t="s">
        <v>309</v>
      </c>
      <c r="C801" s="24">
        <v>2</v>
      </c>
      <c r="D801" s="24">
        <v>0.2</v>
      </c>
      <c r="E801" s="24">
        <v>1.05</v>
      </c>
      <c r="F801" s="28">
        <f t="shared" si="34"/>
        <v>0.42000000000000004</v>
      </c>
      <c r="G801" s="24"/>
      <c r="H801" s="24"/>
      <c r="I801" s="45"/>
      <c r="J801" s="46"/>
      <c r="K801" s="22"/>
    </row>
    <row r="802" spans="1:11" ht="16.5">
      <c r="A802" s="129"/>
      <c r="B802" s="31"/>
      <c r="C802" s="24">
        <v>3</v>
      </c>
      <c r="D802" s="24">
        <v>0.25</v>
      </c>
      <c r="E802" s="24">
        <v>1.15</v>
      </c>
      <c r="F802" s="28">
        <f t="shared" si="34"/>
        <v>0.8624999999999999</v>
      </c>
      <c r="G802" s="24"/>
      <c r="H802" s="24"/>
      <c r="I802" s="45"/>
      <c r="J802" s="46"/>
      <c r="K802" s="22"/>
    </row>
    <row r="803" spans="1:11" ht="16.5">
      <c r="A803" s="129"/>
      <c r="B803" s="31"/>
      <c r="C803" s="24"/>
      <c r="D803" s="24"/>
      <c r="E803" s="24"/>
      <c r="F803" s="28">
        <f>SUM(F796:F802)</f>
        <v>5.3175</v>
      </c>
      <c r="G803" s="30">
        <v>5</v>
      </c>
      <c r="H803" s="42">
        <f>F803*G803%</f>
        <v>0.26587500000000003</v>
      </c>
      <c r="I803" s="43">
        <f>F803+H803</f>
        <v>5.583375</v>
      </c>
      <c r="J803" s="44">
        <f>$D$9</f>
        <v>550</v>
      </c>
      <c r="K803" s="44">
        <f>+J803*I803</f>
        <v>3070.8562500000003</v>
      </c>
    </row>
    <row r="804" spans="1:11" ht="16.5">
      <c r="A804" s="145"/>
      <c r="B804" s="140" t="s">
        <v>110</v>
      </c>
      <c r="C804" s="70"/>
      <c r="D804" s="70"/>
      <c r="E804" s="70"/>
      <c r="F804" s="70"/>
      <c r="G804" s="74"/>
      <c r="H804" s="107"/>
      <c r="I804" s="96"/>
      <c r="J804" s="91"/>
      <c r="K804" s="91"/>
    </row>
    <row r="805" spans="1:11" ht="15.75">
      <c r="A805" s="145"/>
      <c r="B805" s="70" t="s">
        <v>181</v>
      </c>
      <c r="C805" s="70">
        <v>1</v>
      </c>
      <c r="D805" s="70">
        <f>D782</f>
        <v>2.45</v>
      </c>
      <c r="E805" s="70">
        <v>0.6</v>
      </c>
      <c r="F805" s="107">
        <f>C805*D805*E805</f>
        <v>1.47</v>
      </c>
      <c r="G805" s="74"/>
      <c r="H805" s="107"/>
      <c r="I805" s="96"/>
      <c r="J805" s="91"/>
      <c r="K805" s="91"/>
    </row>
    <row r="806" spans="1:11" ht="15.75">
      <c r="A806" s="145"/>
      <c r="B806" s="70" t="s">
        <v>287</v>
      </c>
      <c r="C806" s="70">
        <v>1</v>
      </c>
      <c r="D806" s="70">
        <f>D805</f>
        <v>2.45</v>
      </c>
      <c r="E806" s="70">
        <v>0.05</v>
      </c>
      <c r="F806" s="107">
        <f>C806*D806*E806</f>
        <v>0.12250000000000001</v>
      </c>
      <c r="G806" s="74"/>
      <c r="H806" s="107"/>
      <c r="I806" s="96"/>
      <c r="J806" s="91"/>
      <c r="K806" s="91"/>
    </row>
    <row r="807" spans="1:11" ht="15.75">
      <c r="A807" s="145"/>
      <c r="B807" s="70" t="s">
        <v>348</v>
      </c>
      <c r="C807" s="70">
        <v>2</v>
      </c>
      <c r="D807" s="70">
        <f>0.6</f>
        <v>0.6</v>
      </c>
      <c r="E807" s="70">
        <v>0.3</v>
      </c>
      <c r="F807" s="107">
        <f>C807*D807*E807</f>
        <v>0.36</v>
      </c>
      <c r="G807" s="74"/>
      <c r="H807" s="107"/>
      <c r="I807" s="96"/>
      <c r="J807" s="91"/>
      <c r="K807" s="91"/>
    </row>
    <row r="808" spans="1:11" ht="15.75">
      <c r="A808" s="145"/>
      <c r="B808" s="70"/>
      <c r="C808" s="70">
        <v>2</v>
      </c>
      <c r="D808" s="70">
        <f>D805</f>
        <v>2.45</v>
      </c>
      <c r="E808" s="70">
        <v>0.3</v>
      </c>
      <c r="F808" s="107">
        <f>C808*D808*E808</f>
        <v>1.47</v>
      </c>
      <c r="G808" s="74"/>
      <c r="H808" s="107"/>
      <c r="I808" s="96"/>
      <c r="J808" s="91"/>
      <c r="K808" s="91"/>
    </row>
    <row r="809" spans="1:11" ht="15.75">
      <c r="A809" s="145"/>
      <c r="B809" s="70" t="s">
        <v>297</v>
      </c>
      <c r="C809" s="70">
        <v>2</v>
      </c>
      <c r="D809" s="70">
        <v>0.8</v>
      </c>
      <c r="E809" s="70">
        <v>1.05</v>
      </c>
      <c r="F809" s="107">
        <f>C809*D809*E809</f>
        <v>1.6800000000000002</v>
      </c>
      <c r="G809" s="74"/>
      <c r="H809" s="107"/>
      <c r="I809" s="96"/>
      <c r="J809" s="91"/>
      <c r="K809" s="91"/>
    </row>
    <row r="810" spans="1:11" ht="15.75">
      <c r="A810" s="145"/>
      <c r="B810" s="70" t="s">
        <v>281</v>
      </c>
      <c r="C810" s="70">
        <v>1</v>
      </c>
      <c r="D810" s="70">
        <f>E780</f>
        <v>2.6</v>
      </c>
      <c r="E810" s="70">
        <f>I780</f>
        <v>1.05</v>
      </c>
      <c r="F810" s="107">
        <f aca="true" t="shared" si="35" ref="F810:F817">C810*D810*E810</f>
        <v>2.7300000000000004</v>
      </c>
      <c r="G810" s="74"/>
      <c r="H810" s="107"/>
      <c r="I810" s="96"/>
      <c r="J810" s="91"/>
      <c r="K810" s="91"/>
    </row>
    <row r="811" spans="1:11" ht="15.75">
      <c r="A811" s="145"/>
      <c r="B811" s="70" t="s">
        <v>349</v>
      </c>
      <c r="C811" s="70">
        <v>-1</v>
      </c>
      <c r="D811" s="70">
        <v>0.5</v>
      </c>
      <c r="E811" s="70">
        <v>0.95</v>
      </c>
      <c r="F811" s="107">
        <f t="shared" si="35"/>
        <v>-0.475</v>
      </c>
      <c r="G811" s="74"/>
      <c r="H811" s="107"/>
      <c r="I811" s="96"/>
      <c r="J811" s="91"/>
      <c r="K811" s="91"/>
    </row>
    <row r="812" spans="1:11" ht="15.75">
      <c r="A812" s="145"/>
      <c r="B812" s="70" t="s">
        <v>350</v>
      </c>
      <c r="C812" s="70">
        <f>2*2</f>
        <v>4</v>
      </c>
      <c r="D812" s="70">
        <v>0.05</v>
      </c>
      <c r="E812" s="70">
        <v>1.05</v>
      </c>
      <c r="F812" s="107">
        <f t="shared" si="35"/>
        <v>0.21000000000000002</v>
      </c>
      <c r="G812" s="74"/>
      <c r="H812" s="107"/>
      <c r="I812" s="96"/>
      <c r="J812" s="91"/>
      <c r="K812" s="91"/>
    </row>
    <row r="813" spans="1:11" ht="15.75">
      <c r="A813" s="145"/>
      <c r="B813" s="70"/>
      <c r="C813" s="70">
        <v>2</v>
      </c>
      <c r="D813" s="70">
        <v>0.5</v>
      </c>
      <c r="E813" s="70">
        <v>0.05</v>
      </c>
      <c r="F813" s="107">
        <f t="shared" si="35"/>
        <v>0.05</v>
      </c>
      <c r="G813" s="74"/>
      <c r="H813" s="107"/>
      <c r="I813" s="96"/>
      <c r="J813" s="91"/>
      <c r="K813" s="91"/>
    </row>
    <row r="814" spans="1:11" ht="15.75">
      <c r="A814" s="145"/>
      <c r="B814" s="70" t="s">
        <v>258</v>
      </c>
      <c r="C814" s="70">
        <v>2</v>
      </c>
      <c r="D814" s="70">
        <v>0.6</v>
      </c>
      <c r="E814" s="70">
        <v>0.075</v>
      </c>
      <c r="F814" s="107">
        <f>C814*D814*E814</f>
        <v>0.09</v>
      </c>
      <c r="G814" s="70"/>
      <c r="H814" s="107"/>
      <c r="I814" s="77"/>
      <c r="J814" s="91"/>
      <c r="K814" s="74"/>
    </row>
    <row r="815" spans="1:11" ht="15.75">
      <c r="A815" s="145"/>
      <c r="B815" s="70"/>
      <c r="C815" s="70">
        <v>2</v>
      </c>
      <c r="D815" s="70">
        <v>1</v>
      </c>
      <c r="E815" s="70">
        <v>0.2</v>
      </c>
      <c r="F815" s="107">
        <f>C815*D815*E815</f>
        <v>0.4</v>
      </c>
      <c r="G815" s="70"/>
      <c r="H815" s="107"/>
      <c r="I815" s="77"/>
      <c r="J815" s="91"/>
      <c r="K815" s="74"/>
    </row>
    <row r="816" spans="1:11" ht="15.75">
      <c r="A816" s="145"/>
      <c r="B816" s="70"/>
      <c r="C816" s="70">
        <v>1</v>
      </c>
      <c r="D816" s="70">
        <v>0.6</v>
      </c>
      <c r="E816" s="70">
        <v>0.25</v>
      </c>
      <c r="F816" s="107">
        <f>C816*D816*E816</f>
        <v>0.15</v>
      </c>
      <c r="G816" s="70"/>
      <c r="H816" s="107"/>
      <c r="I816" s="77"/>
      <c r="J816" s="91"/>
      <c r="K816" s="74"/>
    </row>
    <row r="817" spans="1:11" ht="15.75">
      <c r="A817" s="145"/>
      <c r="B817" s="70" t="s">
        <v>200</v>
      </c>
      <c r="C817" s="70">
        <v>2</v>
      </c>
      <c r="D817" s="70">
        <v>0.075</v>
      </c>
      <c r="E817" s="70">
        <v>1.05</v>
      </c>
      <c r="F817" s="107">
        <f t="shared" si="35"/>
        <v>0.1575</v>
      </c>
      <c r="G817" s="74"/>
      <c r="H817" s="107"/>
      <c r="I817" s="96"/>
      <c r="J817" s="91"/>
      <c r="K817" s="91"/>
    </row>
    <row r="818" spans="1:11" ht="15.75">
      <c r="A818" s="145"/>
      <c r="B818" s="76"/>
      <c r="C818" s="70"/>
      <c r="D818" s="76"/>
      <c r="E818" s="76"/>
      <c r="F818" s="107">
        <f>SUM(F805:F817)</f>
        <v>8.415000000000003</v>
      </c>
      <c r="G818" s="74">
        <v>5</v>
      </c>
      <c r="H818" s="70">
        <f>F818*G818%</f>
        <v>0.4207500000000002</v>
      </c>
      <c r="I818" s="96">
        <f>F818+H818</f>
        <v>8.835750000000003</v>
      </c>
      <c r="J818" s="91">
        <f>$D$20</f>
        <v>6300</v>
      </c>
      <c r="K818" s="91">
        <f>+J818*I818</f>
        <v>55665.22500000002</v>
      </c>
    </row>
    <row r="819" spans="1:11" ht="16.5">
      <c r="A819" s="130"/>
      <c r="B819" s="140" t="s">
        <v>104</v>
      </c>
      <c r="C819" s="24"/>
      <c r="D819" s="24"/>
      <c r="E819" s="24"/>
      <c r="F819" s="24"/>
      <c r="G819" s="24"/>
      <c r="H819" s="28"/>
      <c r="I819" s="90"/>
      <c r="J819" s="15"/>
      <c r="K819" s="15"/>
    </row>
    <row r="820" spans="1:11" ht="15.75">
      <c r="A820" s="130"/>
      <c r="B820" s="24" t="s">
        <v>291</v>
      </c>
      <c r="C820" s="24">
        <v>1</v>
      </c>
      <c r="D820" s="28">
        <v>0.8</v>
      </c>
      <c r="E820" s="28">
        <v>0.7</v>
      </c>
      <c r="F820" s="28">
        <f>C820*D820*E820</f>
        <v>0.5599999999999999</v>
      </c>
      <c r="G820" s="13">
        <v>5</v>
      </c>
      <c r="H820" s="28">
        <f>F820*G820%</f>
        <v>0.027999999999999997</v>
      </c>
      <c r="I820" s="53">
        <f>F820+H820</f>
        <v>0.588</v>
      </c>
      <c r="J820" s="91">
        <f>$D$15</f>
        <v>550</v>
      </c>
      <c r="K820" s="15">
        <f>+J820*I820</f>
        <v>323.4</v>
      </c>
    </row>
    <row r="821" spans="1:11" ht="16.5">
      <c r="A821" s="145"/>
      <c r="B821" s="102" t="s">
        <v>265</v>
      </c>
      <c r="C821" s="70"/>
      <c r="D821" s="70"/>
      <c r="E821" s="70"/>
      <c r="F821" s="70"/>
      <c r="G821" s="70"/>
      <c r="H821" s="70"/>
      <c r="I821" s="105"/>
      <c r="J821" s="91"/>
      <c r="K821" s="91"/>
    </row>
    <row r="822" spans="1:11" ht="15.75">
      <c r="A822" s="145"/>
      <c r="B822" s="70" t="s">
        <v>291</v>
      </c>
      <c r="C822" s="70"/>
      <c r="D822" s="70"/>
      <c r="E822" s="70"/>
      <c r="F822" s="70"/>
      <c r="G822" s="70"/>
      <c r="H822" s="70"/>
      <c r="I822" s="105"/>
      <c r="J822" s="91"/>
      <c r="K822" s="91"/>
    </row>
    <row r="823" spans="1:11" ht="15.75">
      <c r="A823" s="145"/>
      <c r="B823" s="70" t="s">
        <v>192</v>
      </c>
      <c r="C823" s="70">
        <f>2*2</f>
        <v>4</v>
      </c>
      <c r="D823" s="70">
        <v>0.4</v>
      </c>
      <c r="E823" s="70">
        <v>0.6</v>
      </c>
      <c r="F823" s="107">
        <f>C823*D823*E823</f>
        <v>0.96</v>
      </c>
      <c r="G823" s="70"/>
      <c r="H823" s="70"/>
      <c r="I823" s="105"/>
      <c r="J823" s="91"/>
      <c r="K823" s="91"/>
    </row>
    <row r="824" spans="1:11" ht="15.75">
      <c r="A824" s="145"/>
      <c r="B824" s="70" t="s">
        <v>200</v>
      </c>
      <c r="C824" s="70">
        <f>2*2</f>
        <v>4</v>
      </c>
      <c r="D824" s="70">
        <v>0.45</v>
      </c>
      <c r="E824" s="70">
        <v>0.6</v>
      </c>
      <c r="F824" s="107">
        <f>C824*D824*E824</f>
        <v>1.08</v>
      </c>
      <c r="G824" s="70"/>
      <c r="H824" s="70"/>
      <c r="I824" s="105"/>
      <c r="J824" s="91"/>
      <c r="K824" s="91"/>
    </row>
    <row r="825" spans="1:11" ht="15.75">
      <c r="A825" s="145"/>
      <c r="B825" s="70" t="s">
        <v>193</v>
      </c>
      <c r="C825" s="70">
        <f>3*2</f>
        <v>6</v>
      </c>
      <c r="D825" s="70">
        <v>0.4</v>
      </c>
      <c r="E825" s="70">
        <v>0.45</v>
      </c>
      <c r="F825" s="107">
        <f>C825*D825*E825</f>
        <v>1.0800000000000003</v>
      </c>
      <c r="G825" s="70"/>
      <c r="H825" s="70"/>
      <c r="I825" s="105"/>
      <c r="J825" s="91"/>
      <c r="K825" s="91"/>
    </row>
    <row r="826" spans="1:11" ht="15.75">
      <c r="A826" s="145"/>
      <c r="B826" s="70" t="s">
        <v>197</v>
      </c>
      <c r="C826" s="70">
        <v>2</v>
      </c>
      <c r="D826" s="70">
        <v>0.6</v>
      </c>
      <c r="E826" s="70">
        <v>0.75</v>
      </c>
      <c r="F826" s="107">
        <f>C826*D826*E826</f>
        <v>0.8999999999999999</v>
      </c>
      <c r="G826" s="70"/>
      <c r="H826" s="70"/>
      <c r="I826" s="105"/>
      <c r="J826" s="91"/>
      <c r="K826" s="91"/>
    </row>
    <row r="827" spans="1:11" ht="15.75">
      <c r="A827" s="145"/>
      <c r="B827" s="70" t="s">
        <v>200</v>
      </c>
      <c r="C827" s="70">
        <v>1</v>
      </c>
      <c r="D827" s="70">
        <f>2.45-0.8</f>
        <v>1.6500000000000001</v>
      </c>
      <c r="E827" s="70">
        <v>0.75</v>
      </c>
      <c r="F827" s="107">
        <f>C827*D827*E827</f>
        <v>1.2375</v>
      </c>
      <c r="G827" s="70"/>
      <c r="H827" s="70"/>
      <c r="I827" s="105"/>
      <c r="J827" s="91"/>
      <c r="K827" s="91"/>
    </row>
    <row r="828" spans="1:11" ht="15.75">
      <c r="A828" s="145"/>
      <c r="B828" s="70"/>
      <c r="C828" s="70"/>
      <c r="D828" s="70"/>
      <c r="E828" s="70"/>
      <c r="F828" s="107">
        <f>SUM(F822:F827)</f>
        <v>5.257499999999999</v>
      </c>
      <c r="G828" s="74"/>
      <c r="H828" s="70"/>
      <c r="I828" s="96">
        <f>F828</f>
        <v>5.257499999999999</v>
      </c>
      <c r="J828" s="91">
        <f>$D$28</f>
        <v>120</v>
      </c>
      <c r="K828" s="91">
        <f>+J828*I828</f>
        <v>630.9</v>
      </c>
    </row>
    <row r="829" spans="1:11" ht="16.5">
      <c r="A829" s="145"/>
      <c r="B829" s="102" t="s">
        <v>271</v>
      </c>
      <c r="C829" s="70">
        <v>1</v>
      </c>
      <c r="D829" s="110">
        <f>F820</f>
        <v>0.5599999999999999</v>
      </c>
      <c r="E829" s="70">
        <v>3</v>
      </c>
      <c r="F829" s="106">
        <f>C829*D829/E829</f>
        <v>0.18666666666666665</v>
      </c>
      <c r="G829" s="70"/>
      <c r="H829" s="70"/>
      <c r="I829" s="105">
        <f>F829</f>
        <v>0.18666666666666665</v>
      </c>
      <c r="J829" s="91">
        <f>$D$27</f>
        <v>225</v>
      </c>
      <c r="K829" s="91">
        <f>+J829*I829</f>
        <v>41.99999999999999</v>
      </c>
    </row>
    <row r="830" spans="1:11" ht="16.5">
      <c r="A830" s="145"/>
      <c r="B830" s="140" t="s">
        <v>114</v>
      </c>
      <c r="C830" s="70">
        <v>1</v>
      </c>
      <c r="D830" s="110">
        <v>0.6</v>
      </c>
      <c r="E830" s="70">
        <v>1.05</v>
      </c>
      <c r="F830" s="106">
        <f>C830*D830/E830</f>
        <v>0.5714285714285714</v>
      </c>
      <c r="G830" s="70"/>
      <c r="H830" s="70"/>
      <c r="I830" s="105">
        <f>F830</f>
        <v>0.5714285714285714</v>
      </c>
      <c r="J830" s="91">
        <f>$D$24</f>
        <v>2750</v>
      </c>
      <c r="K830" s="91">
        <f>+J830*I830</f>
        <v>1571.4285714285713</v>
      </c>
    </row>
    <row r="831" spans="1:11" ht="16.5">
      <c r="A831" s="130"/>
      <c r="B831" s="25" t="s">
        <v>269</v>
      </c>
      <c r="C831" s="24"/>
      <c r="D831" s="45"/>
      <c r="E831" s="24"/>
      <c r="F831" s="45"/>
      <c r="G831" s="13"/>
      <c r="H831" s="24"/>
      <c r="I831" s="53"/>
      <c r="J831" s="91"/>
      <c r="K831" s="15"/>
    </row>
    <row r="832" spans="1:11" ht="15.75">
      <c r="A832" s="130"/>
      <c r="B832" s="24" t="s">
        <v>294</v>
      </c>
      <c r="C832" s="24">
        <f>2*2</f>
        <v>4</v>
      </c>
      <c r="D832" s="28">
        <v>0.65</v>
      </c>
      <c r="E832" s="24"/>
      <c r="F832" s="45">
        <f>D832*C832</f>
        <v>2.6</v>
      </c>
      <c r="G832" s="13"/>
      <c r="H832" s="24"/>
      <c r="I832" s="53">
        <f>F832+H832</f>
        <v>2.6</v>
      </c>
      <c r="J832" s="91">
        <f>$I$117</f>
        <v>12</v>
      </c>
      <c r="K832" s="15">
        <f>+J832*I832</f>
        <v>31.200000000000003</v>
      </c>
    </row>
    <row r="833" spans="1:11" ht="16.5">
      <c r="A833" s="130"/>
      <c r="B833" s="25" t="s">
        <v>270</v>
      </c>
      <c r="C833" s="24"/>
      <c r="D833" s="45"/>
      <c r="E833" s="24"/>
      <c r="F833" s="45"/>
      <c r="G833" s="13"/>
      <c r="H833" s="24"/>
      <c r="I833" s="53"/>
      <c r="J833" s="91"/>
      <c r="K833" s="15"/>
    </row>
    <row r="834" spans="1:11" ht="15.75">
      <c r="A834" s="130"/>
      <c r="B834" s="24" t="s">
        <v>291</v>
      </c>
      <c r="C834" s="24">
        <f>6*2</f>
        <v>12</v>
      </c>
      <c r="D834" s="28">
        <v>0.4</v>
      </c>
      <c r="E834" s="24"/>
      <c r="F834" s="45">
        <f>D834*C834</f>
        <v>4.800000000000001</v>
      </c>
      <c r="G834" s="13"/>
      <c r="H834" s="24"/>
      <c r="I834" s="53"/>
      <c r="J834" s="91"/>
      <c r="K834" s="15"/>
    </row>
    <row r="835" spans="1:11" ht="15.75">
      <c r="A835" s="130"/>
      <c r="B835" s="24"/>
      <c r="C835" s="24">
        <f>6*2</f>
        <v>12</v>
      </c>
      <c r="D835" s="28">
        <v>0.45</v>
      </c>
      <c r="E835" s="24"/>
      <c r="F835" s="45">
        <f>D835*C835</f>
        <v>5.4</v>
      </c>
      <c r="G835" s="13"/>
      <c r="H835" s="24"/>
      <c r="I835" s="53"/>
      <c r="J835" s="91"/>
      <c r="K835" s="15"/>
    </row>
    <row r="836" spans="1:11" ht="16.5">
      <c r="A836" s="130"/>
      <c r="B836" s="140"/>
      <c r="C836" s="24"/>
      <c r="D836" s="45"/>
      <c r="E836" s="24"/>
      <c r="F836" s="45">
        <f>SUM(F834:F835)</f>
        <v>10.200000000000001</v>
      </c>
      <c r="G836" s="13"/>
      <c r="H836" s="24"/>
      <c r="I836" s="53">
        <f>F836+H836</f>
        <v>10.200000000000001</v>
      </c>
      <c r="J836" s="91">
        <f>$I$125</f>
        <v>9</v>
      </c>
      <c r="K836" s="15">
        <f>+J836*I836</f>
        <v>91.80000000000001</v>
      </c>
    </row>
    <row r="837" spans="1:11" ht="16.5">
      <c r="A837" s="129"/>
      <c r="B837" s="40" t="s">
        <v>214</v>
      </c>
      <c r="C837" s="24"/>
      <c r="D837" s="24"/>
      <c r="E837" s="24"/>
      <c r="F837" s="24"/>
      <c r="G837" s="24"/>
      <c r="H837" s="24"/>
      <c r="I837" s="45"/>
      <c r="J837" s="46"/>
      <c r="K837" s="22"/>
    </row>
    <row r="838" spans="1:11" ht="16.5">
      <c r="A838" s="129"/>
      <c r="B838" s="31" t="s">
        <v>215</v>
      </c>
      <c r="C838" s="24">
        <v>2</v>
      </c>
      <c r="D838" s="24"/>
      <c r="E838" s="24"/>
      <c r="F838" s="28">
        <f>C838</f>
        <v>2</v>
      </c>
      <c r="G838" s="24"/>
      <c r="H838" s="42">
        <f>F838*G838%</f>
        <v>0</v>
      </c>
      <c r="I838" s="49">
        <f>F838+H838</f>
        <v>2</v>
      </c>
      <c r="J838" s="46">
        <f>$D$36</f>
        <v>250</v>
      </c>
      <c r="K838" s="44">
        <f>+J838*I838</f>
        <v>500</v>
      </c>
    </row>
    <row r="839" spans="1:11" ht="16.5">
      <c r="A839" s="129"/>
      <c r="B839" s="31" t="s">
        <v>216</v>
      </c>
      <c r="C839" s="24">
        <v>2</v>
      </c>
      <c r="D839" s="24"/>
      <c r="E839" s="24"/>
      <c r="F839" s="28">
        <f>C839</f>
        <v>2</v>
      </c>
      <c r="G839" s="24"/>
      <c r="H839" s="42">
        <f>F839*G839%</f>
        <v>0</v>
      </c>
      <c r="I839" s="49">
        <f>F839+H839</f>
        <v>2</v>
      </c>
      <c r="J839" s="46">
        <f>$D$32</f>
        <v>1000</v>
      </c>
      <c r="K839" s="44">
        <f>+J839*I839</f>
        <v>2000</v>
      </c>
    </row>
    <row r="840" spans="1:11" ht="16.5">
      <c r="A840" s="129"/>
      <c r="B840" s="31" t="s">
        <v>217</v>
      </c>
      <c r="C840" s="24">
        <v>2</v>
      </c>
      <c r="D840" s="24"/>
      <c r="E840" s="24"/>
      <c r="F840" s="28">
        <f>C840</f>
        <v>2</v>
      </c>
      <c r="G840" s="24"/>
      <c r="H840" s="42">
        <f>F840*G840%</f>
        <v>0</v>
      </c>
      <c r="I840" s="49">
        <f>F840+H840</f>
        <v>2</v>
      </c>
      <c r="J840" s="46">
        <f>$D$34</f>
        <v>1100</v>
      </c>
      <c r="K840" s="44">
        <f>+J840*I840</f>
        <v>2200</v>
      </c>
    </row>
    <row r="841" spans="1:11" ht="16.5">
      <c r="A841" s="129"/>
      <c r="B841" s="31" t="s">
        <v>218</v>
      </c>
      <c r="C841" s="24">
        <v>6</v>
      </c>
      <c r="D841" s="24"/>
      <c r="E841" s="24"/>
      <c r="F841" s="28">
        <f>C841</f>
        <v>6</v>
      </c>
      <c r="G841" s="24"/>
      <c r="H841" s="42">
        <f>F841*G841%</f>
        <v>0</v>
      </c>
      <c r="I841" s="49">
        <f>F841+H841</f>
        <v>6</v>
      </c>
      <c r="J841" s="46">
        <f>$D$37</f>
        <v>125</v>
      </c>
      <c r="K841" s="44">
        <f>+J841*I841</f>
        <v>750</v>
      </c>
    </row>
    <row r="842" spans="1:11" ht="16.5">
      <c r="A842" s="129"/>
      <c r="B842" s="31" t="s">
        <v>219</v>
      </c>
      <c r="C842" s="24"/>
      <c r="D842" s="24"/>
      <c r="E842" s="24"/>
      <c r="F842" s="28"/>
      <c r="G842" s="24"/>
      <c r="H842" s="42"/>
      <c r="I842" s="49"/>
      <c r="J842" s="46">
        <f>$D$38</f>
        <v>100</v>
      </c>
      <c r="K842" s="44"/>
    </row>
    <row r="843" spans="1:11" ht="16.5">
      <c r="A843" s="129"/>
      <c r="B843" s="31" t="s">
        <v>220</v>
      </c>
      <c r="C843" s="24"/>
      <c r="D843" s="24"/>
      <c r="E843" s="24"/>
      <c r="F843" s="28"/>
      <c r="G843" s="24"/>
      <c r="H843" s="42"/>
      <c r="I843" s="49"/>
      <c r="J843" s="46">
        <f>$D$40</f>
        <v>125</v>
      </c>
      <c r="K843" s="44"/>
    </row>
    <row r="844" spans="1:11" ht="19.5" customHeight="1">
      <c r="A844" s="129"/>
      <c r="B844" s="31" t="s">
        <v>221</v>
      </c>
      <c r="C844" s="24">
        <v>6</v>
      </c>
      <c r="D844" s="24"/>
      <c r="E844" s="24"/>
      <c r="F844" s="28">
        <f>C844</f>
        <v>6</v>
      </c>
      <c r="G844" s="24"/>
      <c r="H844" s="42">
        <f>F844*G844%</f>
        <v>0</v>
      </c>
      <c r="I844" s="49">
        <f>F844+H844</f>
        <v>6</v>
      </c>
      <c r="J844" s="46">
        <f>$D$39</f>
        <v>200</v>
      </c>
      <c r="K844" s="44">
        <f>+J844*I844</f>
        <v>1200</v>
      </c>
    </row>
    <row r="845" spans="1:11" ht="15.75">
      <c r="A845" s="130"/>
      <c r="B845" s="24" t="s">
        <v>273</v>
      </c>
      <c r="C845" s="24">
        <v>2</v>
      </c>
      <c r="D845" s="24"/>
      <c r="E845" s="24"/>
      <c r="F845" s="28">
        <f>C845</f>
        <v>2</v>
      </c>
      <c r="G845" s="24"/>
      <c r="H845" s="42">
        <f>F845*G845%</f>
        <v>0</v>
      </c>
      <c r="I845" s="49">
        <f>F845+H845</f>
        <v>2</v>
      </c>
      <c r="J845" s="46">
        <f>$D$36</f>
        <v>250</v>
      </c>
      <c r="K845" s="44">
        <f>+J845*I845</f>
        <v>500</v>
      </c>
    </row>
    <row r="846" spans="1:11" ht="15.75">
      <c r="A846" s="130"/>
      <c r="B846" s="24" t="s">
        <v>274</v>
      </c>
      <c r="C846" s="24">
        <v>2</v>
      </c>
      <c r="D846" s="24"/>
      <c r="E846" s="24"/>
      <c r="F846" s="24"/>
      <c r="G846" s="24"/>
      <c r="H846" s="24"/>
      <c r="I846" s="14"/>
      <c r="J846" s="15"/>
      <c r="K846" s="15">
        <v>1500</v>
      </c>
    </row>
    <row r="847" spans="1:11" ht="15.75">
      <c r="A847" s="130"/>
      <c r="B847" s="24" t="s">
        <v>275</v>
      </c>
      <c r="C847" s="24"/>
      <c r="D847" s="24"/>
      <c r="E847" s="28"/>
      <c r="F847" s="24"/>
      <c r="G847" s="24"/>
      <c r="H847" s="24"/>
      <c r="I847" s="93"/>
      <c r="J847" s="15"/>
      <c r="K847" s="15">
        <v>5000</v>
      </c>
    </row>
    <row r="848" spans="1:11" ht="16.5">
      <c r="A848" s="145"/>
      <c r="B848" s="25" t="s">
        <v>14</v>
      </c>
      <c r="C848" s="30"/>
      <c r="D848" s="30"/>
      <c r="E848" s="30"/>
      <c r="F848" s="30"/>
      <c r="G848" s="30"/>
      <c r="H848" s="30"/>
      <c r="I848" s="43"/>
      <c r="J848" s="44"/>
      <c r="K848" s="51">
        <f>SUM(K782:K847)</f>
        <v>86003.89732142858</v>
      </c>
    </row>
    <row r="849" spans="1:11" ht="15.75">
      <c r="A849" s="145"/>
      <c r="B849" s="16" t="str">
        <f>$B$7</f>
        <v>Add Towards Overhead and Profit</v>
      </c>
      <c r="C849" s="60"/>
      <c r="D849" s="52"/>
      <c r="E849" s="52"/>
      <c r="F849" s="18">
        <f>$F$7</f>
        <v>15</v>
      </c>
      <c r="G849" s="24"/>
      <c r="H849" s="24"/>
      <c r="I849" s="53"/>
      <c r="J849" s="15"/>
      <c r="K849" s="46">
        <f>+K848*F849%</f>
        <v>12900.584598214287</v>
      </c>
    </row>
    <row r="850" spans="1:11" ht="15.75">
      <c r="A850" s="145"/>
      <c r="B850" s="16" t="s">
        <v>223</v>
      </c>
      <c r="C850" s="60"/>
      <c r="D850" s="52"/>
      <c r="E850" s="52"/>
      <c r="F850" s="18"/>
      <c r="G850" s="24"/>
      <c r="H850" s="24"/>
      <c r="I850" s="53"/>
      <c r="J850" s="15"/>
      <c r="K850" s="46">
        <f>SUM(K848:K849)</f>
        <v>98904.48191964287</v>
      </c>
    </row>
    <row r="851" spans="1:11" ht="17.25">
      <c r="A851" s="145"/>
      <c r="B851" s="70"/>
      <c r="C851" s="70"/>
      <c r="D851" s="70"/>
      <c r="E851" s="70"/>
      <c r="F851" s="70"/>
      <c r="G851" s="70"/>
      <c r="H851" s="70"/>
      <c r="I851" s="119" t="s">
        <v>224</v>
      </c>
      <c r="J851" s="112"/>
      <c r="K851" s="55">
        <v>100000</v>
      </c>
    </row>
    <row r="852" spans="1:11" ht="16.5">
      <c r="A852" s="145"/>
      <c r="B852" s="25"/>
      <c r="C852" s="13"/>
      <c r="D852" s="25"/>
      <c r="E852" s="25"/>
      <c r="F852" s="25"/>
      <c r="G852" s="25"/>
      <c r="H852" s="25"/>
      <c r="I852" s="14"/>
      <c r="J852" s="27"/>
      <c r="K852" s="21"/>
    </row>
    <row r="853" spans="1:11" ht="16.5" customHeight="1">
      <c r="A853" s="132">
        <f>A780+1</f>
        <v>17</v>
      </c>
      <c r="B853" s="40" t="s">
        <v>25</v>
      </c>
      <c r="C853" s="25"/>
      <c r="D853" s="25"/>
      <c r="E853" s="25">
        <v>1.5</v>
      </c>
      <c r="F853" s="25" t="s">
        <v>225</v>
      </c>
      <c r="G853" s="25">
        <v>0.8</v>
      </c>
      <c r="H853" s="25" t="s">
        <v>225</v>
      </c>
      <c r="I853" s="25">
        <v>1.05</v>
      </c>
      <c r="J853" s="26" t="s">
        <v>225</v>
      </c>
      <c r="K853" s="102">
        <f>G853*E853</f>
        <v>1.2000000000000002</v>
      </c>
    </row>
    <row r="854" spans="1:11" ht="16.5">
      <c r="A854" s="145"/>
      <c r="B854" s="102" t="s">
        <v>279</v>
      </c>
      <c r="C854" s="70"/>
      <c r="D854" s="70"/>
      <c r="E854" s="70"/>
      <c r="F854" s="70"/>
      <c r="G854" s="70"/>
      <c r="H854" s="70"/>
      <c r="I854" s="105"/>
      <c r="J854" s="91"/>
      <c r="K854" s="91"/>
    </row>
    <row r="855" spans="1:11" ht="15.75">
      <c r="A855" s="145"/>
      <c r="B855" s="70" t="s">
        <v>181</v>
      </c>
      <c r="C855" s="70">
        <v>1</v>
      </c>
      <c r="D855" s="70">
        <v>1.35</v>
      </c>
      <c r="E855" s="70">
        <v>0.6</v>
      </c>
      <c r="F855" s="107">
        <f>C855*D855*E855</f>
        <v>0.81</v>
      </c>
      <c r="G855" s="74">
        <v>5</v>
      </c>
      <c r="H855" s="107">
        <f>F855*G855%</f>
        <v>0.04050000000000001</v>
      </c>
      <c r="I855" s="96">
        <f>F855+H855</f>
        <v>0.8505</v>
      </c>
      <c r="J855" s="91">
        <f>$D$11</f>
        <v>1325</v>
      </c>
      <c r="K855" s="91">
        <f>+J855*I855</f>
        <v>1126.9125000000001</v>
      </c>
    </row>
    <row r="856" spans="1:11" ht="16.5">
      <c r="A856" s="145"/>
      <c r="B856" s="140" t="s">
        <v>97</v>
      </c>
      <c r="C856" s="70"/>
      <c r="D856" s="70"/>
      <c r="E856" s="70"/>
      <c r="F856" s="107"/>
      <c r="G856" s="70"/>
      <c r="H856" s="107"/>
      <c r="I856" s="77"/>
      <c r="J856" s="91"/>
      <c r="K856" s="74"/>
    </row>
    <row r="857" spans="1:11" ht="15.75">
      <c r="A857" s="145"/>
      <c r="B857" s="70" t="s">
        <v>290</v>
      </c>
      <c r="C857" s="70">
        <v>1</v>
      </c>
      <c r="D857" s="70">
        <f>D855</f>
        <v>1.35</v>
      </c>
      <c r="E857" s="70">
        <v>0.075</v>
      </c>
      <c r="F857" s="107">
        <f>C857*D857*E857</f>
        <v>0.10125</v>
      </c>
      <c r="G857" s="70"/>
      <c r="H857" s="107"/>
      <c r="I857" s="77"/>
      <c r="J857" s="91"/>
      <c r="K857" s="74"/>
    </row>
    <row r="858" spans="1:11" ht="15.75">
      <c r="A858" s="145"/>
      <c r="B858" s="70" t="s">
        <v>306</v>
      </c>
      <c r="C858" s="70">
        <v>2</v>
      </c>
      <c r="D858" s="70">
        <v>0.8</v>
      </c>
      <c r="E858" s="70">
        <v>1.05</v>
      </c>
      <c r="F858" s="107">
        <f>C858*D858*E858</f>
        <v>1.6800000000000002</v>
      </c>
      <c r="G858" s="70"/>
      <c r="H858" s="107"/>
      <c r="I858" s="77"/>
      <c r="J858" s="91"/>
      <c r="K858" s="74"/>
    </row>
    <row r="859" spans="1:11" ht="15.75">
      <c r="A859" s="145"/>
      <c r="B859" s="70"/>
      <c r="C859" s="70">
        <v>2</v>
      </c>
      <c r="D859" s="70">
        <v>0.6</v>
      </c>
      <c r="E859" s="70">
        <v>1.05</v>
      </c>
      <c r="F859" s="107">
        <f>C859*D859*E859</f>
        <v>1.26</v>
      </c>
      <c r="G859" s="70"/>
      <c r="H859" s="107"/>
      <c r="I859" s="77"/>
      <c r="J859" s="91"/>
      <c r="K859" s="74"/>
    </row>
    <row r="860" spans="1:11" ht="15.75">
      <c r="A860" s="145"/>
      <c r="B860" s="70"/>
      <c r="C860" s="70">
        <v>2</v>
      </c>
      <c r="D860" s="70">
        <v>0.075</v>
      </c>
      <c r="E860" s="70">
        <v>1.05</v>
      </c>
      <c r="F860" s="107">
        <f>C860*D860*E860</f>
        <v>0.1575</v>
      </c>
      <c r="G860" s="70"/>
      <c r="H860" s="107"/>
      <c r="I860" s="77"/>
      <c r="J860" s="91"/>
      <c r="K860" s="74"/>
    </row>
    <row r="861" spans="1:11" ht="15.75">
      <c r="A861" s="145"/>
      <c r="B861" s="70" t="s">
        <v>281</v>
      </c>
      <c r="C861" s="70">
        <v>1</v>
      </c>
      <c r="D861" s="70">
        <f>E853</f>
        <v>1.5</v>
      </c>
      <c r="E861" s="70">
        <f>I853</f>
        <v>1.05</v>
      </c>
      <c r="F861" s="107">
        <f>C861*D861*E861</f>
        <v>1.5750000000000002</v>
      </c>
      <c r="G861" s="70"/>
      <c r="H861" s="107"/>
      <c r="I861" s="77"/>
      <c r="J861" s="91"/>
      <c r="K861" s="74"/>
    </row>
    <row r="862" spans="1:11" ht="15.75">
      <c r="A862" s="145"/>
      <c r="B862" s="70"/>
      <c r="C862" s="70">
        <v>1</v>
      </c>
      <c r="D862" s="70">
        <v>0.6</v>
      </c>
      <c r="E862" s="70">
        <v>0.6</v>
      </c>
      <c r="F862" s="107">
        <v>0.1</v>
      </c>
      <c r="G862" s="70"/>
      <c r="H862" s="107"/>
      <c r="I862" s="77"/>
      <c r="J862" s="91"/>
      <c r="K862" s="74"/>
    </row>
    <row r="863" spans="1:11" ht="15.75">
      <c r="A863" s="145"/>
      <c r="B863" s="70" t="s">
        <v>307</v>
      </c>
      <c r="C863" s="70">
        <v>2</v>
      </c>
      <c r="D863" s="70">
        <v>1.05</v>
      </c>
      <c r="E863" s="70">
        <v>0.05</v>
      </c>
      <c r="F863" s="107">
        <v>0.1</v>
      </c>
      <c r="G863" s="70"/>
      <c r="H863" s="107"/>
      <c r="I863" s="77"/>
      <c r="J863" s="91"/>
      <c r="K863" s="74"/>
    </row>
    <row r="864" spans="1:11" ht="15.75">
      <c r="A864" s="145"/>
      <c r="B864" s="70" t="s">
        <v>258</v>
      </c>
      <c r="C864" s="70">
        <v>2</v>
      </c>
      <c r="D864" s="70">
        <v>0.75</v>
      </c>
      <c r="E864" s="70">
        <v>0.6</v>
      </c>
      <c r="F864" s="107">
        <f>C864*D864*E864</f>
        <v>0.8999999999999999</v>
      </c>
      <c r="G864" s="70"/>
      <c r="H864" s="107"/>
      <c r="I864" s="77"/>
      <c r="J864" s="91"/>
      <c r="K864" s="74"/>
    </row>
    <row r="865" spans="1:11" ht="15.75">
      <c r="A865" s="145"/>
      <c r="B865" s="70"/>
      <c r="C865" s="70">
        <v>2</v>
      </c>
      <c r="D865" s="70">
        <v>0.45</v>
      </c>
      <c r="E865" s="70">
        <v>0.2</v>
      </c>
      <c r="F865" s="107">
        <f>C865*D865*E865</f>
        <v>0.18000000000000002</v>
      </c>
      <c r="G865" s="70"/>
      <c r="H865" s="107"/>
      <c r="I865" s="77"/>
      <c r="J865" s="91"/>
      <c r="K865" s="74"/>
    </row>
    <row r="866" spans="1:11" ht="15.75">
      <c r="A866" s="145"/>
      <c r="B866" s="70"/>
      <c r="C866" s="70">
        <v>1</v>
      </c>
      <c r="D866" s="70">
        <v>0.6</v>
      </c>
      <c r="E866" s="70">
        <v>0.25</v>
      </c>
      <c r="F866" s="107">
        <f>C866*D866*E866</f>
        <v>0.15</v>
      </c>
      <c r="G866" s="70"/>
      <c r="H866" s="107"/>
      <c r="I866" s="77"/>
      <c r="J866" s="91"/>
      <c r="K866" s="74"/>
    </row>
    <row r="867" spans="1:11" ht="16.5">
      <c r="A867" s="129"/>
      <c r="B867" s="31" t="s">
        <v>185</v>
      </c>
      <c r="C867" s="24">
        <v>1</v>
      </c>
      <c r="D867" s="24">
        <v>0.6</v>
      </c>
      <c r="E867" s="24">
        <v>0.75</v>
      </c>
      <c r="F867" s="28">
        <f>E867*D867*C867</f>
        <v>0.44999999999999996</v>
      </c>
      <c r="G867" s="24"/>
      <c r="H867" s="24"/>
      <c r="I867" s="45"/>
      <c r="J867" s="46"/>
      <c r="K867" s="22"/>
    </row>
    <row r="868" spans="1:11" ht="15.75">
      <c r="A868" s="145"/>
      <c r="B868" s="70"/>
      <c r="C868" s="70"/>
      <c r="D868" s="70"/>
      <c r="E868" s="70"/>
      <c r="F868" s="107">
        <f>SUM(F856:F867)</f>
        <v>6.65375</v>
      </c>
      <c r="G868" s="74">
        <v>5</v>
      </c>
      <c r="H868" s="107">
        <f>F868*G868%</f>
        <v>0.3326875</v>
      </c>
      <c r="I868" s="96">
        <f>F868+H868</f>
        <v>6.986437499999999</v>
      </c>
      <c r="J868" s="91">
        <f>$D$8</f>
        <v>800</v>
      </c>
      <c r="K868" s="91">
        <f>+J868*I868</f>
        <v>5589.15</v>
      </c>
    </row>
    <row r="869" spans="1:11" ht="16.5">
      <c r="A869" s="129"/>
      <c r="B869" s="40" t="s">
        <v>188</v>
      </c>
      <c r="C869" s="24"/>
      <c r="D869" s="24"/>
      <c r="E869" s="24"/>
      <c r="F869" s="28"/>
      <c r="G869" s="30"/>
      <c r="H869" s="42"/>
      <c r="I869" s="43"/>
      <c r="J869" s="44"/>
      <c r="K869" s="44"/>
    </row>
    <row r="870" spans="1:11" ht="16.5">
      <c r="A870" s="129"/>
      <c r="B870" s="31" t="s">
        <v>191</v>
      </c>
      <c r="C870" s="24">
        <v>2</v>
      </c>
      <c r="D870" s="24">
        <v>0.45</v>
      </c>
      <c r="E870" s="24">
        <v>0.75</v>
      </c>
      <c r="F870" s="28">
        <f aca="true" t="shared" si="36" ref="F870:F876">E870*D870*C870</f>
        <v>0.675</v>
      </c>
      <c r="G870" s="24"/>
      <c r="H870" s="24"/>
      <c r="I870" s="45"/>
      <c r="J870" s="46"/>
      <c r="K870" s="22"/>
    </row>
    <row r="871" spans="1:11" ht="16.5">
      <c r="A871" s="129"/>
      <c r="B871" s="31" t="s">
        <v>192</v>
      </c>
      <c r="C871" s="24">
        <v>2</v>
      </c>
      <c r="D871" s="24">
        <v>0.4</v>
      </c>
      <c r="E871" s="24">
        <v>0.75</v>
      </c>
      <c r="F871" s="28">
        <f t="shared" si="36"/>
        <v>0.6000000000000001</v>
      </c>
      <c r="G871" s="24"/>
      <c r="H871" s="24"/>
      <c r="I871" s="45"/>
      <c r="J871" s="46"/>
      <c r="K871" s="22"/>
    </row>
    <row r="872" spans="1:11" ht="16.5">
      <c r="A872" s="129"/>
      <c r="B872" s="31" t="s">
        <v>193</v>
      </c>
      <c r="C872" s="24">
        <v>3</v>
      </c>
      <c r="D872" s="24">
        <v>0.4</v>
      </c>
      <c r="E872" s="24">
        <v>0.45</v>
      </c>
      <c r="F872" s="28">
        <f t="shared" si="36"/>
        <v>0.54</v>
      </c>
      <c r="G872" s="24"/>
      <c r="H872" s="24"/>
      <c r="I872" s="45"/>
      <c r="J872" s="46"/>
      <c r="K872" s="22"/>
    </row>
    <row r="873" spans="1:11" ht="16.5">
      <c r="A873" s="129"/>
      <c r="B873" s="31" t="s">
        <v>308</v>
      </c>
      <c r="C873" s="24">
        <v>1</v>
      </c>
      <c r="D873" s="24">
        <v>1.5</v>
      </c>
      <c r="E873" s="24">
        <v>0.1</v>
      </c>
      <c r="F873" s="28">
        <f t="shared" si="36"/>
        <v>0.15000000000000002</v>
      </c>
      <c r="G873" s="24"/>
      <c r="H873" s="24"/>
      <c r="I873" s="45"/>
      <c r="J873" s="46"/>
      <c r="K873" s="22"/>
    </row>
    <row r="874" spans="1:11" ht="16.5">
      <c r="A874" s="129"/>
      <c r="B874" s="31"/>
      <c r="C874" s="24">
        <v>2</v>
      </c>
      <c r="D874" s="24">
        <v>0.6</v>
      </c>
      <c r="E874" s="24">
        <v>0.1</v>
      </c>
      <c r="F874" s="28">
        <f t="shared" si="36"/>
        <v>0.12</v>
      </c>
      <c r="G874" s="24"/>
      <c r="H874" s="24"/>
      <c r="I874" s="45"/>
      <c r="J874" s="46"/>
      <c r="K874" s="22"/>
    </row>
    <row r="875" spans="1:11" ht="16.5">
      <c r="A875" s="129"/>
      <c r="B875" s="31" t="s">
        <v>309</v>
      </c>
      <c r="C875" s="24">
        <v>2</v>
      </c>
      <c r="D875" s="24">
        <v>0.2</v>
      </c>
      <c r="E875" s="24">
        <v>1.05</v>
      </c>
      <c r="F875" s="28">
        <f t="shared" si="36"/>
        <v>0.42000000000000004</v>
      </c>
      <c r="G875" s="24"/>
      <c r="H875" s="24"/>
      <c r="I875" s="45"/>
      <c r="J875" s="46"/>
      <c r="K875" s="22"/>
    </row>
    <row r="876" spans="1:11" ht="16.5">
      <c r="A876" s="129"/>
      <c r="B876" s="31"/>
      <c r="C876" s="24">
        <v>3</v>
      </c>
      <c r="D876" s="24">
        <v>0.25</v>
      </c>
      <c r="E876" s="24">
        <v>1.15</v>
      </c>
      <c r="F876" s="28">
        <f t="shared" si="36"/>
        <v>0.8624999999999999</v>
      </c>
      <c r="G876" s="24"/>
      <c r="H876" s="24"/>
      <c r="I876" s="45"/>
      <c r="J876" s="46"/>
      <c r="K876" s="22"/>
    </row>
    <row r="877" spans="1:11" ht="16.5">
      <c r="A877" s="129"/>
      <c r="B877" s="31"/>
      <c r="C877" s="24"/>
      <c r="D877" s="24"/>
      <c r="E877" s="24"/>
      <c r="F877" s="28">
        <f>SUM(F870:F876)</f>
        <v>3.3675</v>
      </c>
      <c r="G877" s="30">
        <v>5</v>
      </c>
      <c r="H877" s="42">
        <f>F877*G877%</f>
        <v>0.16837500000000002</v>
      </c>
      <c r="I877" s="43">
        <f>F877+H877</f>
        <v>3.5358750000000003</v>
      </c>
      <c r="J877" s="44">
        <f>$D$9</f>
        <v>550</v>
      </c>
      <c r="K877" s="44">
        <f>+J877*I877</f>
        <v>1944.7312500000003</v>
      </c>
    </row>
    <row r="878" spans="1:11" ht="16.5">
      <c r="A878" s="145"/>
      <c r="B878" s="140" t="s">
        <v>110</v>
      </c>
      <c r="C878" s="70"/>
      <c r="D878" s="70"/>
      <c r="E878" s="70"/>
      <c r="F878" s="70"/>
      <c r="G878" s="74"/>
      <c r="H878" s="107"/>
      <c r="I878" s="96"/>
      <c r="J878" s="91"/>
      <c r="K878" s="91"/>
    </row>
    <row r="879" spans="1:11" ht="15.75">
      <c r="A879" s="145"/>
      <c r="B879" s="70" t="s">
        <v>181</v>
      </c>
      <c r="C879" s="70">
        <v>1</v>
      </c>
      <c r="D879" s="70">
        <v>1.35</v>
      </c>
      <c r="E879" s="70">
        <v>0.6</v>
      </c>
      <c r="F879" s="107">
        <f aca="true" t="shared" si="37" ref="F879:F890">C879*D879*E879</f>
        <v>0.81</v>
      </c>
      <c r="G879" s="74"/>
      <c r="H879" s="107"/>
      <c r="I879" s="96"/>
      <c r="J879" s="91"/>
      <c r="K879" s="91"/>
    </row>
    <row r="880" spans="1:11" ht="15.75">
      <c r="A880" s="145"/>
      <c r="B880" s="70"/>
      <c r="C880" s="70">
        <v>2</v>
      </c>
      <c r="D880" s="70">
        <v>0.75</v>
      </c>
      <c r="E880" s="70">
        <v>0.6</v>
      </c>
      <c r="F880" s="107">
        <f t="shared" si="37"/>
        <v>0.8999999999999999</v>
      </c>
      <c r="G880" s="74"/>
      <c r="H880" s="107"/>
      <c r="I880" s="96"/>
      <c r="J880" s="91"/>
      <c r="K880" s="91"/>
    </row>
    <row r="881" spans="1:11" ht="15.75">
      <c r="A881" s="145"/>
      <c r="B881" s="70"/>
      <c r="C881" s="70">
        <v>2</v>
      </c>
      <c r="D881" s="70">
        <v>0.45</v>
      </c>
      <c r="E881" s="70">
        <v>0.2</v>
      </c>
      <c r="F881" s="107">
        <f t="shared" si="37"/>
        <v>0.18000000000000002</v>
      </c>
      <c r="G881" s="74"/>
      <c r="H881" s="107"/>
      <c r="I881" s="96"/>
      <c r="J881" s="91"/>
      <c r="K881" s="91"/>
    </row>
    <row r="882" spans="1:11" ht="15.75">
      <c r="A882" s="145"/>
      <c r="B882" s="70" t="s">
        <v>287</v>
      </c>
      <c r="C882" s="70">
        <v>1</v>
      </c>
      <c r="D882" s="70">
        <f>D879</f>
        <v>1.35</v>
      </c>
      <c r="E882" s="70">
        <v>0.05</v>
      </c>
      <c r="F882" s="107">
        <f t="shared" si="37"/>
        <v>0.0675</v>
      </c>
      <c r="G882" s="74"/>
      <c r="H882" s="107"/>
      <c r="I882" s="96"/>
      <c r="J882" s="91"/>
      <c r="K882" s="91"/>
    </row>
    <row r="883" spans="1:11" ht="15.75">
      <c r="A883" s="145"/>
      <c r="B883" s="70" t="s">
        <v>259</v>
      </c>
      <c r="C883" s="70">
        <v>2</v>
      </c>
      <c r="D883" s="70">
        <v>0.8</v>
      </c>
      <c r="E883" s="70">
        <v>1.05</v>
      </c>
      <c r="F883" s="107">
        <f t="shared" si="37"/>
        <v>1.6800000000000002</v>
      </c>
      <c r="G883" s="74"/>
      <c r="H883" s="107"/>
      <c r="I883" s="96"/>
      <c r="J883" s="91"/>
      <c r="K883" s="91"/>
    </row>
    <row r="884" spans="1:11" ht="15.75">
      <c r="A884" s="145"/>
      <c r="B884" s="70"/>
      <c r="C884" s="70">
        <v>2</v>
      </c>
      <c r="D884" s="70">
        <v>0.6</v>
      </c>
      <c r="E884" s="70">
        <v>0.3</v>
      </c>
      <c r="F884" s="107">
        <f>C884*D884*E884</f>
        <v>0.36</v>
      </c>
      <c r="G884" s="74"/>
      <c r="H884" s="107"/>
      <c r="I884" s="96"/>
      <c r="J884" s="91"/>
      <c r="K884" s="91"/>
    </row>
    <row r="885" spans="1:11" ht="15.75">
      <c r="A885" s="145"/>
      <c r="B885" s="70"/>
      <c r="C885" s="70">
        <v>1</v>
      </c>
      <c r="D885" s="70">
        <v>1.35</v>
      </c>
      <c r="E885" s="70">
        <v>0.3</v>
      </c>
      <c r="F885" s="107">
        <f>C885*D885*E885</f>
        <v>0.405</v>
      </c>
      <c r="G885" s="74"/>
      <c r="H885" s="107"/>
      <c r="I885" s="96"/>
      <c r="J885" s="91"/>
      <c r="K885" s="91"/>
    </row>
    <row r="886" spans="1:11" ht="15.75">
      <c r="A886" s="145"/>
      <c r="B886" s="70" t="s">
        <v>197</v>
      </c>
      <c r="C886" s="70">
        <v>2</v>
      </c>
      <c r="D886" s="70">
        <v>0.45</v>
      </c>
      <c r="E886" s="70">
        <f>I853</f>
        <v>1.05</v>
      </c>
      <c r="F886" s="107">
        <f t="shared" si="37"/>
        <v>0.9450000000000001</v>
      </c>
      <c r="G886" s="74"/>
      <c r="H886" s="107"/>
      <c r="I886" s="96"/>
      <c r="J886" s="91"/>
      <c r="K886" s="91"/>
    </row>
    <row r="887" spans="1:11" ht="15.75">
      <c r="A887" s="145"/>
      <c r="B887" s="70" t="s">
        <v>259</v>
      </c>
      <c r="C887" s="70">
        <f>2*2</f>
        <v>4</v>
      </c>
      <c r="D887" s="70">
        <v>0.05</v>
      </c>
      <c r="E887" s="70">
        <v>1.05</v>
      </c>
      <c r="F887" s="107">
        <f t="shared" si="37"/>
        <v>0.21000000000000002</v>
      </c>
      <c r="G887" s="74"/>
      <c r="H887" s="107"/>
      <c r="I887" s="96"/>
      <c r="J887" s="91"/>
      <c r="K887" s="91"/>
    </row>
    <row r="888" spans="1:11" ht="15.75">
      <c r="A888" s="145"/>
      <c r="B888" s="70"/>
      <c r="C888" s="70">
        <v>2</v>
      </c>
      <c r="D888" s="70">
        <v>0.5</v>
      </c>
      <c r="E888" s="70">
        <v>0.05</v>
      </c>
      <c r="F888" s="107">
        <f t="shared" si="37"/>
        <v>0.05</v>
      </c>
      <c r="G888" s="74"/>
      <c r="H888" s="107"/>
      <c r="I888" s="96"/>
      <c r="J888" s="91"/>
      <c r="K888" s="91"/>
    </row>
    <row r="889" spans="1:11" ht="15.75">
      <c r="A889" s="145"/>
      <c r="B889" s="70" t="s">
        <v>200</v>
      </c>
      <c r="C889" s="70">
        <v>2</v>
      </c>
      <c r="D889" s="70">
        <v>0.05</v>
      </c>
      <c r="E889" s="70">
        <v>0.25</v>
      </c>
      <c r="F889" s="107">
        <f t="shared" si="37"/>
        <v>0.025</v>
      </c>
      <c r="G889" s="74"/>
      <c r="H889" s="107"/>
      <c r="I889" s="96"/>
      <c r="J889" s="91"/>
      <c r="K889" s="91"/>
    </row>
    <row r="890" spans="1:11" ht="15.75">
      <c r="A890" s="145"/>
      <c r="B890" s="70"/>
      <c r="C890" s="70">
        <v>1</v>
      </c>
      <c r="D890" s="70">
        <v>0.6</v>
      </c>
      <c r="E890" s="70">
        <v>0.05</v>
      </c>
      <c r="F890" s="107">
        <f t="shared" si="37"/>
        <v>0.03</v>
      </c>
      <c r="G890" s="74"/>
      <c r="H890" s="107"/>
      <c r="I890" s="96"/>
      <c r="J890" s="91"/>
      <c r="K890" s="91"/>
    </row>
    <row r="891" spans="1:11" ht="15.75">
      <c r="A891" s="145"/>
      <c r="B891" s="76"/>
      <c r="C891" s="70"/>
      <c r="D891" s="76"/>
      <c r="E891" s="76"/>
      <c r="F891" s="107">
        <f>SUM(F879:F890)</f>
        <v>5.6625000000000005</v>
      </c>
      <c r="G891" s="74">
        <v>5</v>
      </c>
      <c r="H891" s="70">
        <f>F891*G891%</f>
        <v>0.283125</v>
      </c>
      <c r="I891" s="96">
        <f>F891+H891</f>
        <v>5.945625000000001</v>
      </c>
      <c r="J891" s="91">
        <f>$D$20</f>
        <v>6300</v>
      </c>
      <c r="K891" s="91">
        <f>+J891*I891</f>
        <v>37457.43750000001</v>
      </c>
    </row>
    <row r="892" spans="1:11" ht="16.5">
      <c r="A892" s="130"/>
      <c r="B892" s="140" t="s">
        <v>104</v>
      </c>
      <c r="C892" s="24"/>
      <c r="D892" s="24"/>
      <c r="E892" s="24"/>
      <c r="F892" s="24"/>
      <c r="G892" s="24"/>
      <c r="H892" s="28"/>
      <c r="I892" s="90"/>
      <c r="J892" s="15"/>
      <c r="K892" s="15"/>
    </row>
    <row r="893" spans="1:11" ht="15.75">
      <c r="A893" s="130"/>
      <c r="B893" s="24" t="s">
        <v>291</v>
      </c>
      <c r="C893" s="24">
        <v>1</v>
      </c>
      <c r="D893" s="28">
        <v>0.4</v>
      </c>
      <c r="E893" s="28">
        <v>0.7</v>
      </c>
      <c r="F893" s="28">
        <f>C893*D893*E893</f>
        <v>0.27999999999999997</v>
      </c>
      <c r="G893" s="13">
        <v>5</v>
      </c>
      <c r="H893" s="28">
        <f>F893*G893%</f>
        <v>0.013999999999999999</v>
      </c>
      <c r="I893" s="53">
        <f>F893+H893</f>
        <v>0.294</v>
      </c>
      <c r="J893" s="91">
        <f>$D$15</f>
        <v>550</v>
      </c>
      <c r="K893" s="15">
        <f>+J893*I893</f>
        <v>161.7</v>
      </c>
    </row>
    <row r="894" spans="1:11" ht="16.5">
      <c r="A894" s="145"/>
      <c r="B894" s="102" t="s">
        <v>265</v>
      </c>
      <c r="C894" s="70"/>
      <c r="D894" s="70"/>
      <c r="E894" s="70"/>
      <c r="F894" s="70"/>
      <c r="G894" s="70"/>
      <c r="H894" s="70"/>
      <c r="I894" s="105"/>
      <c r="J894" s="91"/>
      <c r="K894" s="91"/>
    </row>
    <row r="895" spans="1:11" ht="15.75">
      <c r="A895" s="145"/>
      <c r="B895" s="70" t="s">
        <v>291</v>
      </c>
      <c r="C895" s="70"/>
      <c r="D895" s="70"/>
      <c r="E895" s="70"/>
      <c r="F895" s="70"/>
      <c r="G895" s="70"/>
      <c r="H895" s="70"/>
      <c r="I895" s="105"/>
      <c r="J895" s="91"/>
      <c r="K895" s="91"/>
    </row>
    <row r="896" spans="1:11" ht="15.75">
      <c r="A896" s="145"/>
      <c r="B896" s="70" t="s">
        <v>192</v>
      </c>
      <c r="C896" s="70">
        <v>2</v>
      </c>
      <c r="D896" s="70">
        <v>0.4</v>
      </c>
      <c r="E896" s="70">
        <v>0.6</v>
      </c>
      <c r="F896" s="107">
        <f>C896*D896*E896</f>
        <v>0.48</v>
      </c>
      <c r="G896" s="70"/>
      <c r="H896" s="70"/>
      <c r="I896" s="105"/>
      <c r="J896" s="91"/>
      <c r="K896" s="91"/>
    </row>
    <row r="897" spans="1:11" ht="15.75">
      <c r="A897" s="145"/>
      <c r="B897" s="70" t="s">
        <v>200</v>
      </c>
      <c r="C897" s="70">
        <v>2</v>
      </c>
      <c r="D897" s="70">
        <v>0.45</v>
      </c>
      <c r="E897" s="70">
        <v>0.6</v>
      </c>
      <c r="F897" s="107">
        <f>C897*D897*E897</f>
        <v>0.54</v>
      </c>
      <c r="G897" s="70"/>
      <c r="H897" s="70"/>
      <c r="I897" s="105"/>
      <c r="J897" s="91"/>
      <c r="K897" s="91"/>
    </row>
    <row r="898" spans="1:11" ht="15.75">
      <c r="A898" s="145"/>
      <c r="B898" s="70" t="s">
        <v>193</v>
      </c>
      <c r="C898" s="70">
        <v>3</v>
      </c>
      <c r="D898" s="70">
        <v>0.4</v>
      </c>
      <c r="E898" s="70">
        <v>0.45</v>
      </c>
      <c r="F898" s="107">
        <f>C898*D898*E898</f>
        <v>0.5400000000000001</v>
      </c>
      <c r="G898" s="70"/>
      <c r="H898" s="70"/>
      <c r="I898" s="105"/>
      <c r="J898" s="91"/>
      <c r="K898" s="91"/>
    </row>
    <row r="899" spans="1:11" ht="15.75">
      <c r="A899" s="145"/>
      <c r="B899" s="70" t="s">
        <v>197</v>
      </c>
      <c r="C899" s="70">
        <v>1</v>
      </c>
      <c r="D899" s="70">
        <v>0.6</v>
      </c>
      <c r="E899" s="70">
        <v>0.75</v>
      </c>
      <c r="F899" s="107">
        <f>C899*D899*E899</f>
        <v>0.44999999999999996</v>
      </c>
      <c r="G899" s="70"/>
      <c r="H899" s="70"/>
      <c r="I899" s="105"/>
      <c r="J899" s="91"/>
      <c r="K899" s="91"/>
    </row>
    <row r="900" spans="1:11" ht="15.75">
      <c r="A900" s="145"/>
      <c r="B900" s="70" t="s">
        <v>200</v>
      </c>
      <c r="C900" s="70">
        <v>1</v>
      </c>
      <c r="D900" s="70">
        <v>1.35</v>
      </c>
      <c r="E900" s="70">
        <v>0.75</v>
      </c>
      <c r="F900" s="107">
        <f>C900*D900*E900</f>
        <v>1.0125000000000002</v>
      </c>
      <c r="G900" s="70"/>
      <c r="H900" s="70"/>
      <c r="I900" s="105"/>
      <c r="J900" s="91"/>
      <c r="K900" s="91"/>
    </row>
    <row r="901" spans="1:11" ht="15.75">
      <c r="A901" s="145"/>
      <c r="B901" s="70"/>
      <c r="C901" s="70"/>
      <c r="D901" s="70"/>
      <c r="E901" s="70"/>
      <c r="F901" s="107">
        <f>SUM(F895:F900)</f>
        <v>3.0225</v>
      </c>
      <c r="G901" s="74"/>
      <c r="H901" s="70"/>
      <c r="I901" s="96">
        <f>F901</f>
        <v>3.0225</v>
      </c>
      <c r="J901" s="91">
        <f>$D$28</f>
        <v>120</v>
      </c>
      <c r="K901" s="91">
        <f>+J901*I901</f>
        <v>362.7</v>
      </c>
    </row>
    <row r="902" spans="1:11" ht="16.5">
      <c r="A902" s="145"/>
      <c r="B902" s="102" t="s">
        <v>271</v>
      </c>
      <c r="C902" s="70">
        <v>1</v>
      </c>
      <c r="D902" s="110">
        <f>F893</f>
        <v>0.27999999999999997</v>
      </c>
      <c r="E902" s="70">
        <v>3</v>
      </c>
      <c r="F902" s="106">
        <f>C902*D902/E902</f>
        <v>0.09333333333333332</v>
      </c>
      <c r="G902" s="70"/>
      <c r="H902" s="70"/>
      <c r="I902" s="105">
        <f>F902</f>
        <v>0.09333333333333332</v>
      </c>
      <c r="J902" s="91">
        <f>$D$27</f>
        <v>225</v>
      </c>
      <c r="K902" s="91">
        <f>+J902*I902</f>
        <v>20.999999999999996</v>
      </c>
    </row>
    <row r="903" spans="1:11" ht="16.5">
      <c r="A903" s="145"/>
      <c r="B903" s="140" t="s">
        <v>114</v>
      </c>
      <c r="C903" s="70">
        <v>1</v>
      </c>
      <c r="D903" s="110">
        <v>0.5</v>
      </c>
      <c r="E903" s="70">
        <v>0.95</v>
      </c>
      <c r="F903" s="106">
        <f>C903*D903/E903</f>
        <v>0.5263157894736842</v>
      </c>
      <c r="G903" s="70"/>
      <c r="H903" s="70"/>
      <c r="I903" s="105">
        <f>F903</f>
        <v>0.5263157894736842</v>
      </c>
      <c r="J903" s="91">
        <f>$D$24</f>
        <v>2750</v>
      </c>
      <c r="K903" s="91">
        <f>+J903*I903</f>
        <v>1447.3684210526314</v>
      </c>
    </row>
    <row r="904" spans="1:11" ht="16.5">
      <c r="A904" s="130"/>
      <c r="B904" s="25" t="s">
        <v>269</v>
      </c>
      <c r="C904" s="24"/>
      <c r="D904" s="45"/>
      <c r="E904" s="24"/>
      <c r="F904" s="45"/>
      <c r="G904" s="13"/>
      <c r="H904" s="24"/>
      <c r="I904" s="53"/>
      <c r="J904" s="91"/>
      <c r="K904" s="15"/>
    </row>
    <row r="905" spans="1:11" ht="15.75">
      <c r="A905" s="130"/>
      <c r="B905" s="24" t="s">
        <v>294</v>
      </c>
      <c r="C905" s="24">
        <v>2</v>
      </c>
      <c r="D905" s="28">
        <v>0.65</v>
      </c>
      <c r="E905" s="24"/>
      <c r="F905" s="45">
        <f>D905*C905</f>
        <v>1.3</v>
      </c>
      <c r="G905" s="13"/>
      <c r="H905" s="24"/>
      <c r="I905" s="53">
        <f>F905+H905</f>
        <v>1.3</v>
      </c>
      <c r="J905" s="91">
        <f>$I$117</f>
        <v>12</v>
      </c>
      <c r="K905" s="15">
        <f>+J905*I905</f>
        <v>15.600000000000001</v>
      </c>
    </row>
    <row r="906" spans="1:11" ht="16.5">
      <c r="A906" s="130"/>
      <c r="B906" s="25" t="s">
        <v>270</v>
      </c>
      <c r="C906" s="24"/>
      <c r="D906" s="45"/>
      <c r="E906" s="24"/>
      <c r="F906" s="45"/>
      <c r="G906" s="13"/>
      <c r="H906" s="24"/>
      <c r="I906" s="53"/>
      <c r="J906" s="91"/>
      <c r="K906" s="15"/>
    </row>
    <row r="907" spans="1:11" ht="15.75">
      <c r="A907" s="130"/>
      <c r="B907" s="24" t="s">
        <v>291</v>
      </c>
      <c r="C907" s="24">
        <f>2*3</f>
        <v>6</v>
      </c>
      <c r="D907" s="28">
        <v>0.4</v>
      </c>
      <c r="E907" s="24"/>
      <c r="F907" s="45">
        <f>D907*C907</f>
        <v>2.4000000000000004</v>
      </c>
      <c r="G907" s="13"/>
      <c r="H907" s="24"/>
      <c r="I907" s="53"/>
      <c r="J907" s="91"/>
      <c r="K907" s="15"/>
    </row>
    <row r="908" spans="1:11" ht="15.75">
      <c r="A908" s="130"/>
      <c r="B908" s="24"/>
      <c r="C908" s="24">
        <f>2*3</f>
        <v>6</v>
      </c>
      <c r="D908" s="28">
        <v>0.45</v>
      </c>
      <c r="E908" s="24"/>
      <c r="F908" s="45">
        <f>D908*C908</f>
        <v>2.7</v>
      </c>
      <c r="G908" s="13"/>
      <c r="H908" s="24"/>
      <c r="I908" s="53"/>
      <c r="J908" s="91"/>
      <c r="K908" s="15"/>
    </row>
    <row r="909" spans="1:11" ht="16.5">
      <c r="A909" s="130"/>
      <c r="B909" s="140"/>
      <c r="C909" s="24"/>
      <c r="D909" s="45"/>
      <c r="E909" s="24"/>
      <c r="F909" s="45">
        <f>SUM(F907:F908)</f>
        <v>5.1000000000000005</v>
      </c>
      <c r="G909" s="13"/>
      <c r="H909" s="24"/>
      <c r="I909" s="53">
        <f>F909+H909</f>
        <v>5.1000000000000005</v>
      </c>
      <c r="J909" s="91">
        <f>$I$125</f>
        <v>9</v>
      </c>
      <c r="K909" s="15">
        <f>+J909*I909</f>
        <v>45.900000000000006</v>
      </c>
    </row>
    <row r="910" spans="1:11" ht="16.5">
      <c r="A910" s="129"/>
      <c r="B910" s="40" t="s">
        <v>214</v>
      </c>
      <c r="C910" s="24"/>
      <c r="D910" s="24"/>
      <c r="E910" s="24"/>
      <c r="F910" s="24"/>
      <c r="G910" s="24"/>
      <c r="H910" s="24"/>
      <c r="I910" s="45"/>
      <c r="J910" s="46"/>
      <c r="K910" s="22"/>
    </row>
    <row r="911" spans="1:11" ht="16.5">
      <c r="A911" s="129"/>
      <c r="B911" s="31" t="s">
        <v>215</v>
      </c>
      <c r="C911" s="24">
        <v>1</v>
      </c>
      <c r="D911" s="24"/>
      <c r="E911" s="24"/>
      <c r="F911" s="28">
        <f>C911</f>
        <v>1</v>
      </c>
      <c r="G911" s="24"/>
      <c r="H911" s="42">
        <f>F911*G911%</f>
        <v>0</v>
      </c>
      <c r="I911" s="49">
        <f>F911+H911</f>
        <v>1</v>
      </c>
      <c r="J911" s="46">
        <f>$D$36</f>
        <v>250</v>
      </c>
      <c r="K911" s="44">
        <f>+J911*I911</f>
        <v>250</v>
      </c>
    </row>
    <row r="912" spans="1:11" ht="16.5">
      <c r="A912" s="129"/>
      <c r="B912" s="31" t="s">
        <v>216</v>
      </c>
      <c r="C912" s="24">
        <v>1</v>
      </c>
      <c r="D912" s="24"/>
      <c r="E912" s="24"/>
      <c r="F912" s="28">
        <f>C912</f>
        <v>1</v>
      </c>
      <c r="G912" s="24"/>
      <c r="H912" s="42">
        <f>F912*G912%</f>
        <v>0</v>
      </c>
      <c r="I912" s="49">
        <f>F912+H912</f>
        <v>1</v>
      </c>
      <c r="J912" s="46">
        <f>$D$32</f>
        <v>1000</v>
      </c>
      <c r="K912" s="44">
        <f>+J912*I912</f>
        <v>1000</v>
      </c>
    </row>
    <row r="913" spans="1:11" ht="16.5">
      <c r="A913" s="129"/>
      <c r="B913" s="31" t="s">
        <v>217</v>
      </c>
      <c r="C913" s="24">
        <v>1</v>
      </c>
      <c r="D913" s="24"/>
      <c r="E913" s="24"/>
      <c r="F913" s="28">
        <f>C913</f>
        <v>1</v>
      </c>
      <c r="G913" s="24"/>
      <c r="H913" s="42">
        <f>F913*G913%</f>
        <v>0</v>
      </c>
      <c r="I913" s="49">
        <f>F913+H913</f>
        <v>1</v>
      </c>
      <c r="J913" s="46">
        <f>$D$34</f>
        <v>1100</v>
      </c>
      <c r="K913" s="44">
        <f>+J913*I913</f>
        <v>1100</v>
      </c>
    </row>
    <row r="914" spans="1:11" ht="16.5">
      <c r="A914" s="129"/>
      <c r="B914" s="31" t="s">
        <v>218</v>
      </c>
      <c r="C914" s="24">
        <v>3</v>
      </c>
      <c r="D914" s="24"/>
      <c r="E914" s="24"/>
      <c r="F914" s="28">
        <f>C914</f>
        <v>3</v>
      </c>
      <c r="G914" s="24"/>
      <c r="H914" s="42">
        <f>F914*G914%</f>
        <v>0</v>
      </c>
      <c r="I914" s="49">
        <f>F914+H914</f>
        <v>3</v>
      </c>
      <c r="J914" s="46">
        <f>$D$37</f>
        <v>125</v>
      </c>
      <c r="K914" s="44">
        <f>+J914*I914</f>
        <v>375</v>
      </c>
    </row>
    <row r="915" spans="1:11" ht="16.5">
      <c r="A915" s="129"/>
      <c r="B915" s="31" t="s">
        <v>219</v>
      </c>
      <c r="C915" s="24"/>
      <c r="D915" s="24"/>
      <c r="E915" s="24"/>
      <c r="F915" s="28"/>
      <c r="G915" s="24"/>
      <c r="H915" s="42"/>
      <c r="I915" s="49"/>
      <c r="J915" s="46">
        <f>$D$38</f>
        <v>100</v>
      </c>
      <c r="K915" s="44"/>
    </row>
    <row r="916" spans="1:11" ht="16.5">
      <c r="A916" s="129"/>
      <c r="B916" s="31" t="s">
        <v>220</v>
      </c>
      <c r="C916" s="24"/>
      <c r="D916" s="24"/>
      <c r="E916" s="24"/>
      <c r="F916" s="28"/>
      <c r="G916" s="24"/>
      <c r="H916" s="42"/>
      <c r="I916" s="49"/>
      <c r="J916" s="46">
        <f>$D$40</f>
        <v>125</v>
      </c>
      <c r="K916" s="44"/>
    </row>
    <row r="917" spans="1:11" ht="19.5" customHeight="1">
      <c r="A917" s="129"/>
      <c r="B917" s="31" t="s">
        <v>221</v>
      </c>
      <c r="C917" s="24">
        <v>3</v>
      </c>
      <c r="D917" s="24"/>
      <c r="E917" s="24"/>
      <c r="F917" s="28">
        <f>C917</f>
        <v>3</v>
      </c>
      <c r="G917" s="24"/>
      <c r="H917" s="42">
        <f>F917*G917%</f>
        <v>0</v>
      </c>
      <c r="I917" s="49">
        <f>F917+H917</f>
        <v>3</v>
      </c>
      <c r="J917" s="46">
        <f>$D$39</f>
        <v>200</v>
      </c>
      <c r="K917" s="44">
        <f>+J917*I917</f>
        <v>600</v>
      </c>
    </row>
    <row r="918" spans="1:11" ht="15.75">
      <c r="A918" s="130"/>
      <c r="B918" s="24" t="s">
        <v>273</v>
      </c>
      <c r="C918" s="24">
        <v>1</v>
      </c>
      <c r="D918" s="24"/>
      <c r="E918" s="24"/>
      <c r="F918" s="28">
        <f>C918</f>
        <v>1</v>
      </c>
      <c r="G918" s="24"/>
      <c r="H918" s="42">
        <f>F918*G918%</f>
        <v>0</v>
      </c>
      <c r="I918" s="49">
        <f>F918+H918</f>
        <v>1</v>
      </c>
      <c r="J918" s="46">
        <f>$D$36</f>
        <v>250</v>
      </c>
      <c r="K918" s="44">
        <f>+J918*I918</f>
        <v>250</v>
      </c>
    </row>
    <row r="919" spans="1:11" ht="15.75">
      <c r="A919" s="130"/>
      <c r="B919" s="24" t="s">
        <v>274</v>
      </c>
      <c r="C919" s="24">
        <v>1</v>
      </c>
      <c r="D919" s="24"/>
      <c r="E919" s="24"/>
      <c r="F919" s="24"/>
      <c r="G919" s="24"/>
      <c r="H919" s="24"/>
      <c r="I919" s="14"/>
      <c r="J919" s="15"/>
      <c r="K919" s="15">
        <v>500</v>
      </c>
    </row>
    <row r="920" spans="1:11" ht="15.75">
      <c r="A920" s="130"/>
      <c r="B920" s="24" t="s">
        <v>275</v>
      </c>
      <c r="C920" s="24"/>
      <c r="D920" s="24"/>
      <c r="E920" s="28"/>
      <c r="F920" s="24"/>
      <c r="G920" s="24"/>
      <c r="H920" s="24"/>
      <c r="I920" s="93"/>
      <c r="J920" s="15"/>
      <c r="K920" s="15">
        <v>5000</v>
      </c>
    </row>
    <row r="921" spans="1:11" ht="16.5">
      <c r="A921" s="145"/>
      <c r="B921" s="25" t="s">
        <v>14</v>
      </c>
      <c r="C921" s="30"/>
      <c r="D921" s="30"/>
      <c r="E921" s="30"/>
      <c r="F921" s="30"/>
      <c r="G921" s="30"/>
      <c r="H921" s="30"/>
      <c r="I921" s="43"/>
      <c r="J921" s="44"/>
      <c r="K921" s="51">
        <f>SUM(K855:K920)</f>
        <v>57247.49967105264</v>
      </c>
    </row>
    <row r="922" spans="1:11" ht="15.75">
      <c r="A922" s="145"/>
      <c r="B922" s="16" t="str">
        <f>$B$7</f>
        <v>Add Towards Overhead and Profit</v>
      </c>
      <c r="C922" s="60"/>
      <c r="D922" s="52"/>
      <c r="E922" s="52"/>
      <c r="F922" s="18">
        <f>$F$7</f>
        <v>15</v>
      </c>
      <c r="G922" s="24"/>
      <c r="H922" s="24"/>
      <c r="I922" s="53"/>
      <c r="J922" s="15"/>
      <c r="K922" s="46">
        <f>+K921*F922%</f>
        <v>8587.124950657895</v>
      </c>
    </row>
    <row r="923" spans="1:11" ht="15.75">
      <c r="A923" s="145"/>
      <c r="B923" s="16" t="s">
        <v>223</v>
      </c>
      <c r="C923" s="60"/>
      <c r="D923" s="52"/>
      <c r="E923" s="52"/>
      <c r="F923" s="18"/>
      <c r="G923" s="24"/>
      <c r="H923" s="24"/>
      <c r="I923" s="53"/>
      <c r="J923" s="15"/>
      <c r="K923" s="46">
        <f>SUM(K921:K922)</f>
        <v>65834.62462171054</v>
      </c>
    </row>
    <row r="924" spans="1:11" ht="17.25">
      <c r="A924" s="145"/>
      <c r="B924" s="70"/>
      <c r="C924" s="70"/>
      <c r="D924" s="70"/>
      <c r="E924" s="70"/>
      <c r="F924" s="70"/>
      <c r="G924" s="70"/>
      <c r="H924" s="70"/>
      <c r="I924" s="119" t="s">
        <v>224</v>
      </c>
      <c r="J924" s="112"/>
      <c r="K924" s="55">
        <v>65000</v>
      </c>
    </row>
    <row r="925" spans="1:11" ht="16.5">
      <c r="A925" s="145"/>
      <c r="B925" s="25"/>
      <c r="C925" s="13"/>
      <c r="D925" s="25"/>
      <c r="E925" s="25"/>
      <c r="F925" s="25"/>
      <c r="G925" s="25"/>
      <c r="H925" s="25"/>
      <c r="I925" s="14"/>
      <c r="J925" s="27"/>
      <c r="K925" s="21"/>
    </row>
    <row r="926" spans="1:11" ht="16.5">
      <c r="A926" s="129">
        <f>A853+1</f>
        <v>18</v>
      </c>
      <c r="B926" s="40" t="s">
        <v>26</v>
      </c>
      <c r="C926" s="13"/>
      <c r="D926" s="25">
        <v>1.65</v>
      </c>
      <c r="E926" s="25">
        <v>0.9</v>
      </c>
      <c r="F926" s="41">
        <f>E926*D926</f>
        <v>1.4849999999999999</v>
      </c>
      <c r="G926" s="25"/>
      <c r="H926" s="25"/>
      <c r="I926" s="37"/>
      <c r="J926" s="38"/>
      <c r="K926" s="39"/>
    </row>
    <row r="927" spans="1:11" ht="16.5">
      <c r="A927" s="129"/>
      <c r="B927" s="40"/>
      <c r="C927" s="13"/>
      <c r="D927" s="25">
        <v>1.05</v>
      </c>
      <c r="E927" s="25">
        <v>0.45</v>
      </c>
      <c r="F927" s="41">
        <f>E927*D927</f>
        <v>0.47250000000000003</v>
      </c>
      <c r="G927" s="25"/>
      <c r="H927" s="25"/>
      <c r="I927" s="37"/>
      <c r="J927" s="38"/>
      <c r="K927" s="39"/>
    </row>
    <row r="928" spans="1:11" ht="16.5">
      <c r="A928" s="129"/>
      <c r="B928" s="40" t="s">
        <v>179</v>
      </c>
      <c r="C928" s="25" t="s">
        <v>180</v>
      </c>
      <c r="D928" s="25"/>
      <c r="E928" s="25"/>
      <c r="F928" s="25"/>
      <c r="G928" s="25"/>
      <c r="H928" s="25"/>
      <c r="I928" s="37"/>
      <c r="J928" s="38"/>
      <c r="K928" s="39"/>
    </row>
    <row r="929" spans="1:11" ht="16.5">
      <c r="A929" s="129"/>
      <c r="B929" s="31" t="s">
        <v>181</v>
      </c>
      <c r="C929" s="24">
        <v>1</v>
      </c>
      <c r="D929" s="24">
        <f>D926</f>
        <v>1.65</v>
      </c>
      <c r="E929" s="24">
        <f>E926</f>
        <v>0.9</v>
      </c>
      <c r="F929" s="28">
        <f>E929*D929*C929</f>
        <v>1.4849999999999999</v>
      </c>
      <c r="G929" s="30"/>
      <c r="H929" s="42"/>
      <c r="I929" s="43"/>
      <c r="J929" s="44"/>
      <c r="K929" s="44"/>
    </row>
    <row r="930" spans="1:11" ht="16.5">
      <c r="A930" s="129"/>
      <c r="B930" s="31"/>
      <c r="C930" s="24">
        <v>1</v>
      </c>
      <c r="D930" s="24">
        <f>D927</f>
        <v>1.05</v>
      </c>
      <c r="E930" s="24">
        <f>E927</f>
        <v>0.45</v>
      </c>
      <c r="F930" s="28">
        <f>E930*D930*C930</f>
        <v>0.47250000000000003</v>
      </c>
      <c r="G930" s="24"/>
      <c r="H930" s="24"/>
      <c r="I930" s="45"/>
      <c r="J930" s="46"/>
      <c r="K930" s="22"/>
    </row>
    <row r="931" spans="1:11" ht="16.5">
      <c r="A931" s="129"/>
      <c r="B931" s="31"/>
      <c r="C931" s="24"/>
      <c r="D931" s="24"/>
      <c r="E931" s="24"/>
      <c r="F931" s="28">
        <f>SUM(F929:F930)</f>
        <v>1.9575</v>
      </c>
      <c r="G931" s="30">
        <v>5</v>
      </c>
      <c r="H931" s="42">
        <f>F931*G931%</f>
        <v>0.097875</v>
      </c>
      <c r="I931" s="43">
        <f>F931+H931</f>
        <v>2.055375</v>
      </c>
      <c r="J931" s="44">
        <f>D11</f>
        <v>1325</v>
      </c>
      <c r="K931" s="44">
        <f>+J931*I931</f>
        <v>2723.3718750000003</v>
      </c>
    </row>
    <row r="932" spans="1:11" ht="16.5">
      <c r="A932" s="129"/>
      <c r="B932" s="40" t="s">
        <v>182</v>
      </c>
      <c r="C932" s="24"/>
      <c r="D932" s="24"/>
      <c r="E932" s="24"/>
      <c r="F932" s="28"/>
      <c r="G932" s="30"/>
      <c r="H932" s="42"/>
      <c r="I932" s="43"/>
      <c r="J932" s="44"/>
      <c r="K932" s="44"/>
    </row>
    <row r="933" spans="1:11" ht="16.5">
      <c r="A933" s="129"/>
      <c r="B933" s="31" t="s">
        <v>183</v>
      </c>
      <c r="C933" s="24">
        <v>1</v>
      </c>
      <c r="D933" s="24">
        <f>D926-E927</f>
        <v>1.2</v>
      </c>
      <c r="E933" s="24">
        <v>0.1</v>
      </c>
      <c r="F933" s="28">
        <f aca="true" t="shared" si="38" ref="F933:F938">E933*D933*C933</f>
        <v>0.12</v>
      </c>
      <c r="G933" s="24"/>
      <c r="H933" s="24"/>
      <c r="I933" s="45"/>
      <c r="J933" s="46"/>
      <c r="K933" s="22"/>
    </row>
    <row r="934" spans="1:11" ht="16.5">
      <c r="A934" s="129"/>
      <c r="B934" s="31"/>
      <c r="C934" s="24">
        <v>1</v>
      </c>
      <c r="D934" s="24">
        <f>D927</f>
        <v>1.05</v>
      </c>
      <c r="E934" s="24">
        <v>0.1</v>
      </c>
      <c r="F934" s="28">
        <f t="shared" si="38"/>
        <v>0.10500000000000001</v>
      </c>
      <c r="G934" s="24"/>
      <c r="H934" s="24"/>
      <c r="I934" s="45"/>
      <c r="J934" s="46"/>
      <c r="K934" s="22"/>
    </row>
    <row r="935" spans="1:11" ht="16.5">
      <c r="A935" s="129"/>
      <c r="B935" s="31" t="s">
        <v>184</v>
      </c>
      <c r="C935" s="24">
        <v>1</v>
      </c>
      <c r="D935" s="24">
        <f>D926</f>
        <v>1.65</v>
      </c>
      <c r="E935" s="24">
        <v>0.75</v>
      </c>
      <c r="F935" s="28">
        <f t="shared" si="38"/>
        <v>1.2374999999999998</v>
      </c>
      <c r="G935" s="24"/>
      <c r="H935" s="24"/>
      <c r="I935" s="45"/>
      <c r="J935" s="46"/>
      <c r="K935" s="22"/>
    </row>
    <row r="936" spans="1:11" ht="16.5">
      <c r="A936" s="129"/>
      <c r="B936" s="31" t="s">
        <v>185</v>
      </c>
      <c r="C936" s="24">
        <v>1</v>
      </c>
      <c r="D936" s="24">
        <f>E926</f>
        <v>0.9</v>
      </c>
      <c r="E936" s="24">
        <v>0.75</v>
      </c>
      <c r="F936" s="28">
        <f t="shared" si="38"/>
        <v>0.675</v>
      </c>
      <c r="G936" s="24"/>
      <c r="H936" s="24"/>
      <c r="I936" s="45"/>
      <c r="J936" s="46"/>
      <c r="K936" s="22"/>
    </row>
    <row r="937" spans="1:11" ht="16.5">
      <c r="A937" s="129"/>
      <c r="B937" s="31" t="s">
        <v>186</v>
      </c>
      <c r="C937" s="24">
        <v>2</v>
      </c>
      <c r="D937" s="24">
        <f>E927</f>
        <v>0.45</v>
      </c>
      <c r="E937" s="24">
        <v>0.75</v>
      </c>
      <c r="F937" s="28">
        <f t="shared" si="38"/>
        <v>0.675</v>
      </c>
      <c r="G937" s="24"/>
      <c r="H937" s="24"/>
      <c r="I937" s="45"/>
      <c r="J937" s="46"/>
      <c r="K937" s="22"/>
    </row>
    <row r="938" spans="1:11" ht="16.5">
      <c r="A938" s="129"/>
      <c r="B938" s="31" t="s">
        <v>187</v>
      </c>
      <c r="C938" s="24">
        <v>1</v>
      </c>
      <c r="D938" s="24">
        <f>D937</f>
        <v>0.45</v>
      </c>
      <c r="E938" s="24">
        <v>0.75</v>
      </c>
      <c r="F938" s="28">
        <f t="shared" si="38"/>
        <v>0.3375</v>
      </c>
      <c r="G938" s="24"/>
      <c r="H938" s="24"/>
      <c r="I938" s="45"/>
      <c r="J938" s="46"/>
      <c r="K938" s="22"/>
    </row>
    <row r="939" spans="1:11" ht="16.5">
      <c r="A939" s="129"/>
      <c r="B939" s="31"/>
      <c r="C939" s="24"/>
      <c r="D939" s="24"/>
      <c r="E939" s="24"/>
      <c r="F939" s="28">
        <f>SUM(F933:F938)</f>
        <v>3.15</v>
      </c>
      <c r="G939" s="30">
        <v>5</v>
      </c>
      <c r="H939" s="42">
        <f>F939*G939%</f>
        <v>0.1575</v>
      </c>
      <c r="I939" s="43">
        <f>F939+H939</f>
        <v>3.3075</v>
      </c>
      <c r="J939" s="44">
        <f>D8</f>
        <v>800</v>
      </c>
      <c r="K939" s="44">
        <f>+J939*I939</f>
        <v>2646</v>
      </c>
    </row>
    <row r="940" spans="1:11" ht="16.5">
      <c r="A940" s="129"/>
      <c r="B940" s="40" t="s">
        <v>188</v>
      </c>
      <c r="C940" s="24"/>
      <c r="D940" s="24"/>
      <c r="E940" s="24"/>
      <c r="F940" s="28"/>
      <c r="G940" s="30"/>
      <c r="H940" s="42"/>
      <c r="I940" s="43"/>
      <c r="J940" s="44"/>
      <c r="K940" s="44"/>
    </row>
    <row r="941" spans="1:11" ht="16.5">
      <c r="A941" s="129"/>
      <c r="B941" s="31" t="s">
        <v>189</v>
      </c>
      <c r="C941" s="24">
        <v>4</v>
      </c>
      <c r="D941" s="24">
        <v>0.615</v>
      </c>
      <c r="E941" s="24">
        <v>0.3</v>
      </c>
      <c r="F941" s="28">
        <f aca="true" t="shared" si="39" ref="F941:F946">E941*D941*C941</f>
        <v>0.738</v>
      </c>
      <c r="G941" s="30"/>
      <c r="H941" s="42"/>
      <c r="I941" s="43"/>
      <c r="J941" s="44"/>
      <c r="K941" s="44"/>
    </row>
    <row r="942" spans="1:11" ht="16.5">
      <c r="A942" s="129"/>
      <c r="B942" s="31" t="s">
        <v>190</v>
      </c>
      <c r="C942" s="24">
        <v>2</v>
      </c>
      <c r="D942" s="24">
        <v>1.65</v>
      </c>
      <c r="E942" s="24">
        <v>0.3</v>
      </c>
      <c r="F942" s="28">
        <f t="shared" si="39"/>
        <v>0.9899999999999999</v>
      </c>
      <c r="G942" s="30"/>
      <c r="H942" s="42"/>
      <c r="I942" s="43"/>
      <c r="J942" s="44"/>
      <c r="K942" s="44"/>
    </row>
    <row r="943" spans="1:11" ht="16.5">
      <c r="A943" s="129"/>
      <c r="B943" s="31" t="s">
        <v>191</v>
      </c>
      <c r="C943" s="24">
        <v>2</v>
      </c>
      <c r="D943" s="24">
        <v>0.45</v>
      </c>
      <c r="E943" s="24">
        <v>0.75</v>
      </c>
      <c r="F943" s="28">
        <f t="shared" si="39"/>
        <v>0.675</v>
      </c>
      <c r="G943" s="24"/>
      <c r="H943" s="24"/>
      <c r="I943" s="45"/>
      <c r="J943" s="46"/>
      <c r="K943" s="22"/>
    </row>
    <row r="944" spans="1:11" ht="16.5">
      <c r="A944" s="129"/>
      <c r="B944" s="31" t="s">
        <v>192</v>
      </c>
      <c r="C944" s="24">
        <v>2</v>
      </c>
      <c r="D944" s="24">
        <v>0.45</v>
      </c>
      <c r="E944" s="24">
        <v>0.75</v>
      </c>
      <c r="F944" s="28">
        <f t="shared" si="39"/>
        <v>0.675</v>
      </c>
      <c r="G944" s="24"/>
      <c r="H944" s="24"/>
      <c r="I944" s="45"/>
      <c r="J944" s="46"/>
      <c r="K944" s="22"/>
    </row>
    <row r="945" spans="1:11" ht="16.5">
      <c r="A945" s="129"/>
      <c r="B945" s="31" t="s">
        <v>193</v>
      </c>
      <c r="C945" s="24">
        <v>3</v>
      </c>
      <c r="D945" s="24">
        <v>0.45</v>
      </c>
      <c r="E945" s="24">
        <v>0.45</v>
      </c>
      <c r="F945" s="28">
        <f t="shared" si="39"/>
        <v>0.6075</v>
      </c>
      <c r="G945" s="24"/>
      <c r="H945" s="24"/>
      <c r="I945" s="45"/>
      <c r="J945" s="46"/>
      <c r="K945" s="22"/>
    </row>
    <row r="946" spans="1:11" ht="16.5">
      <c r="A946" s="129"/>
      <c r="B946" s="31" t="s">
        <v>194</v>
      </c>
      <c r="C946" s="24">
        <v>2</v>
      </c>
      <c r="D946" s="24">
        <v>0.45</v>
      </c>
      <c r="E946" s="24">
        <v>0.45</v>
      </c>
      <c r="F946" s="28">
        <f t="shared" si="39"/>
        <v>0.405</v>
      </c>
      <c r="G946" s="24"/>
      <c r="H946" s="24"/>
      <c r="I946" s="45"/>
      <c r="J946" s="46"/>
      <c r="K946" s="22"/>
    </row>
    <row r="947" spans="1:11" ht="16.5">
      <c r="A947" s="129"/>
      <c r="B947" s="31"/>
      <c r="C947" s="24"/>
      <c r="D947" s="24"/>
      <c r="E947" s="24"/>
      <c r="F947" s="28">
        <f>SUM(F941:F946)</f>
        <v>4.0905</v>
      </c>
      <c r="G947" s="30">
        <v>5</v>
      </c>
      <c r="H947" s="42">
        <f>F947*G947%</f>
        <v>0.20452499999999998</v>
      </c>
      <c r="I947" s="43">
        <f>F947+H947</f>
        <v>4.295025</v>
      </c>
      <c r="J947" s="44">
        <f>$D$9</f>
        <v>550</v>
      </c>
      <c r="K947" s="44">
        <f>+J947*I947</f>
        <v>2362.26375</v>
      </c>
    </row>
    <row r="948" spans="1:11" ht="16.5">
      <c r="A948" s="129"/>
      <c r="B948" s="40" t="s">
        <v>195</v>
      </c>
      <c r="C948" s="24"/>
      <c r="D948" s="24"/>
      <c r="E948" s="24"/>
      <c r="F948" s="28"/>
      <c r="G948" s="24"/>
      <c r="H948" s="24"/>
      <c r="I948" s="45"/>
      <c r="J948" s="46"/>
      <c r="K948" s="22"/>
    </row>
    <row r="949" spans="1:11" ht="16.5">
      <c r="A949" s="129"/>
      <c r="B949" s="31" t="s">
        <v>196</v>
      </c>
      <c r="C949" s="24">
        <v>2</v>
      </c>
      <c r="D949" s="24">
        <f>1.65+0.075</f>
        <v>1.7249999999999999</v>
      </c>
      <c r="E949" s="24">
        <f>0.05+0.115+0.45</f>
        <v>0.615</v>
      </c>
      <c r="F949" s="28">
        <f>E949*D949*C949</f>
        <v>2.12175</v>
      </c>
      <c r="G949" s="30">
        <v>5</v>
      </c>
      <c r="H949" s="42">
        <f>F949*G949%</f>
        <v>0.1060875</v>
      </c>
      <c r="I949" s="43">
        <f>F949+H949</f>
        <v>2.2278375</v>
      </c>
      <c r="J949" s="44">
        <f>D10</f>
        <v>600</v>
      </c>
      <c r="K949" s="44">
        <f>+J949*I949</f>
        <v>1336.7025</v>
      </c>
    </row>
    <row r="950" spans="1:11" ht="16.5">
      <c r="A950" s="129"/>
      <c r="B950" s="140" t="s">
        <v>110</v>
      </c>
      <c r="C950" s="24"/>
      <c r="D950" s="24"/>
      <c r="E950" s="24"/>
      <c r="F950" s="28"/>
      <c r="G950" s="24"/>
      <c r="H950" s="24"/>
      <c r="I950" s="45"/>
      <c r="J950" s="46"/>
      <c r="K950" s="22"/>
    </row>
    <row r="951" spans="1:11" ht="16.5">
      <c r="A951" s="129"/>
      <c r="B951" s="31" t="s">
        <v>181</v>
      </c>
      <c r="C951" s="24">
        <v>1</v>
      </c>
      <c r="D951" s="24">
        <f>D926</f>
        <v>1.65</v>
      </c>
      <c r="E951" s="24">
        <f>E929</f>
        <v>0.9</v>
      </c>
      <c r="F951" s="28">
        <f>E951*D951*C951</f>
        <v>1.4849999999999999</v>
      </c>
      <c r="G951" s="24"/>
      <c r="H951" s="24"/>
      <c r="I951" s="45"/>
      <c r="J951" s="46"/>
      <c r="K951" s="22"/>
    </row>
    <row r="952" spans="1:11" ht="16.5">
      <c r="A952" s="129"/>
      <c r="B952" s="31"/>
      <c r="C952" s="24">
        <v>1</v>
      </c>
      <c r="D952" s="24">
        <f>D930</f>
        <v>1.05</v>
      </c>
      <c r="E952" s="24">
        <f>E930</f>
        <v>0.45</v>
      </c>
      <c r="F952" s="28">
        <f>E952*D952*C952</f>
        <v>0.47250000000000003</v>
      </c>
      <c r="G952" s="24"/>
      <c r="H952" s="24"/>
      <c r="I952" s="45"/>
      <c r="J952" s="46"/>
      <c r="K952" s="22"/>
    </row>
    <row r="953" spans="1:11" ht="16.5">
      <c r="A953" s="129"/>
      <c r="B953" s="31" t="s">
        <v>183</v>
      </c>
      <c r="C953" s="24">
        <v>1</v>
      </c>
      <c r="D953" s="24">
        <f>D933</f>
        <v>1.2</v>
      </c>
      <c r="E953" s="24">
        <v>0.05</v>
      </c>
      <c r="F953" s="28">
        <f>E953*D953*C953</f>
        <v>0.06</v>
      </c>
      <c r="G953" s="24"/>
      <c r="H953" s="24"/>
      <c r="I953" s="45"/>
      <c r="J953" s="46"/>
      <c r="K953" s="22"/>
    </row>
    <row r="954" spans="1:11" ht="16.5">
      <c r="A954" s="129"/>
      <c r="B954" s="31"/>
      <c r="C954" s="24">
        <v>1</v>
      </c>
      <c r="D954" s="24">
        <f>D934</f>
        <v>1.05</v>
      </c>
      <c r="E954" s="24">
        <v>0.05</v>
      </c>
      <c r="F954" s="28">
        <f>E954*D954*C954</f>
        <v>0.052500000000000005</v>
      </c>
      <c r="G954" s="24"/>
      <c r="H954" s="24"/>
      <c r="I954" s="45"/>
      <c r="J954" s="46"/>
      <c r="K954" s="22"/>
    </row>
    <row r="955" spans="1:11" ht="16.5">
      <c r="A955" s="129"/>
      <c r="B955" s="31" t="s">
        <v>196</v>
      </c>
      <c r="C955" s="24">
        <v>1</v>
      </c>
      <c r="D955" s="24">
        <v>1.65</v>
      </c>
      <c r="E955" s="24">
        <f>0.05+0.115+0.45</f>
        <v>0.615</v>
      </c>
      <c r="F955" s="28">
        <f>E955*D955*C955</f>
        <v>1.01475</v>
      </c>
      <c r="G955" s="24"/>
      <c r="H955" s="24"/>
      <c r="I955" s="45"/>
      <c r="J955" s="46"/>
      <c r="K955" s="22"/>
    </row>
    <row r="956" spans="1:11" ht="16.5">
      <c r="A956" s="129"/>
      <c r="B956" s="31"/>
      <c r="C956" s="24"/>
      <c r="D956" s="24"/>
      <c r="E956" s="24"/>
      <c r="F956" s="28">
        <f>SUM(F951:F955)</f>
        <v>3.0847500000000005</v>
      </c>
      <c r="G956" s="30"/>
      <c r="H956" s="42">
        <f>F956*G956%</f>
        <v>0</v>
      </c>
      <c r="I956" s="43">
        <f>F956+H956</f>
        <v>3.0847500000000005</v>
      </c>
      <c r="J956" s="44">
        <f>D20</f>
        <v>6300</v>
      </c>
      <c r="K956" s="44">
        <f>+J956*I956</f>
        <v>19433.925000000003</v>
      </c>
    </row>
    <row r="957" spans="1:11" ht="16.5">
      <c r="A957" s="129"/>
      <c r="B957" s="140" t="s">
        <v>111</v>
      </c>
      <c r="C957" s="24"/>
      <c r="D957" s="24"/>
      <c r="E957" s="24"/>
      <c r="F957" s="24"/>
      <c r="G957" s="24"/>
      <c r="H957" s="24"/>
      <c r="I957" s="45"/>
      <c r="J957" s="46"/>
      <c r="K957" s="22"/>
    </row>
    <row r="958" spans="1:11" ht="16.5">
      <c r="A958" s="129"/>
      <c r="B958" s="31" t="s">
        <v>197</v>
      </c>
      <c r="C958" s="24">
        <v>1</v>
      </c>
      <c r="D958" s="24">
        <v>1.65</v>
      </c>
      <c r="E958" s="24">
        <v>0.3</v>
      </c>
      <c r="F958" s="28">
        <f>E958*D958*C958</f>
        <v>0.49499999999999994</v>
      </c>
      <c r="G958" s="30"/>
      <c r="H958" s="42">
        <f>F958*G958%</f>
        <v>0</v>
      </c>
      <c r="I958" s="43">
        <f>F958+H958</f>
        <v>0.49499999999999994</v>
      </c>
      <c r="J958" s="44">
        <f>D21</f>
        <v>7400</v>
      </c>
      <c r="K958" s="44">
        <f>+J958*I958</f>
        <v>3662.9999999999995</v>
      </c>
    </row>
    <row r="959" spans="1:11" ht="16.5">
      <c r="A959" s="129"/>
      <c r="B959" s="140" t="s">
        <v>104</v>
      </c>
      <c r="C959" s="24"/>
      <c r="D959" s="24"/>
      <c r="E959" s="24"/>
      <c r="F959" s="24"/>
      <c r="G959" s="24"/>
      <c r="H959" s="24"/>
      <c r="I959" s="45"/>
      <c r="J959" s="46"/>
      <c r="K959" s="22"/>
    </row>
    <row r="960" spans="1:11" ht="16.5">
      <c r="A960" s="129"/>
      <c r="B960" s="139" t="s">
        <v>198</v>
      </c>
      <c r="C960" s="24">
        <v>1</v>
      </c>
      <c r="D960" s="24">
        <v>1.65</v>
      </c>
      <c r="E960" s="24">
        <v>0.31</v>
      </c>
      <c r="F960" s="28">
        <f>E960*D960*C960</f>
        <v>0.5115</v>
      </c>
      <c r="G960" s="24"/>
      <c r="H960" s="24"/>
      <c r="I960" s="45"/>
      <c r="J960" s="46"/>
      <c r="K960" s="22"/>
    </row>
    <row r="961" spans="1:11" ht="16.5">
      <c r="A961" s="129"/>
      <c r="B961" s="31" t="s">
        <v>199</v>
      </c>
      <c r="C961" s="24">
        <v>1</v>
      </c>
      <c r="D961" s="24">
        <v>0.45</v>
      </c>
      <c r="E961" s="24">
        <v>0.75</v>
      </c>
      <c r="F961" s="28">
        <f>E961*D961*C961</f>
        <v>0.3375</v>
      </c>
      <c r="G961" s="24"/>
      <c r="H961" s="24"/>
      <c r="I961" s="45"/>
      <c r="J961" s="46"/>
      <c r="K961" s="22"/>
    </row>
    <row r="962" spans="1:11" ht="16.5">
      <c r="A962" s="129"/>
      <c r="B962" s="31" t="s">
        <v>200</v>
      </c>
      <c r="C962" s="24">
        <v>1</v>
      </c>
      <c r="D962" s="24">
        <v>0.45</v>
      </c>
      <c r="E962" s="24">
        <v>0.75</v>
      </c>
      <c r="F962" s="28">
        <f>E962*D962*C962</f>
        <v>0.3375</v>
      </c>
      <c r="G962" s="24"/>
      <c r="H962" s="24"/>
      <c r="I962" s="45"/>
      <c r="J962" s="46"/>
      <c r="K962" s="22"/>
    </row>
    <row r="963" spans="1:11" ht="16.5">
      <c r="A963" s="129"/>
      <c r="B963" s="31" t="s">
        <v>201</v>
      </c>
      <c r="C963" s="24">
        <v>1</v>
      </c>
      <c r="D963" s="24">
        <v>0.45</v>
      </c>
      <c r="E963" s="24">
        <v>0.75</v>
      </c>
      <c r="F963" s="28">
        <f>E963*D963*C963</f>
        <v>0.3375</v>
      </c>
      <c r="G963" s="24"/>
      <c r="H963" s="24"/>
      <c r="I963" s="45"/>
      <c r="J963" s="46"/>
      <c r="K963" s="22"/>
    </row>
    <row r="964" spans="1:11" ht="16.5">
      <c r="A964" s="129"/>
      <c r="B964" s="31" t="s">
        <v>200</v>
      </c>
      <c r="C964" s="24">
        <v>1</v>
      </c>
      <c r="D964" s="24">
        <v>0.6</v>
      </c>
      <c r="E964" s="24">
        <v>0.75</v>
      </c>
      <c r="F964" s="28">
        <f>E964*D964*C964</f>
        <v>0.44999999999999996</v>
      </c>
      <c r="G964" s="24"/>
      <c r="H964" s="24"/>
      <c r="I964" s="45"/>
      <c r="J964" s="46"/>
      <c r="K964" s="22"/>
    </row>
    <row r="965" spans="1:11" ht="16.5">
      <c r="A965" s="129"/>
      <c r="B965" s="31"/>
      <c r="C965" s="24"/>
      <c r="D965" s="24"/>
      <c r="E965" s="24"/>
      <c r="F965" s="28">
        <f>SUM(F960:F964)</f>
        <v>1.974</v>
      </c>
      <c r="G965" s="30">
        <v>5</v>
      </c>
      <c r="H965" s="42">
        <f>F965*G965%</f>
        <v>0.09870000000000001</v>
      </c>
      <c r="I965" s="43">
        <f>F965+H965</f>
        <v>2.0727</v>
      </c>
      <c r="J965" s="44">
        <f>D15</f>
        <v>550</v>
      </c>
      <c r="K965" s="44">
        <f>+J965*I965</f>
        <v>1139.9850000000001</v>
      </c>
    </row>
    <row r="966" spans="1:11" ht="16.5">
      <c r="A966" s="145"/>
      <c r="B966" s="47" t="s">
        <v>117</v>
      </c>
      <c r="C966" s="30">
        <v>1</v>
      </c>
      <c r="D966" s="42">
        <f>F965</f>
        <v>1.974</v>
      </c>
      <c r="E966" s="30">
        <v>3</v>
      </c>
      <c r="F966" s="30">
        <f>C966*D966/E966</f>
        <v>0.658</v>
      </c>
      <c r="G966" s="30"/>
      <c r="H966" s="30"/>
      <c r="I966" s="48">
        <f>F966</f>
        <v>0.658</v>
      </c>
      <c r="J966" s="15">
        <f>$D$27</f>
        <v>225</v>
      </c>
      <c r="K966" s="44">
        <f>+J966*I966</f>
        <v>148.05</v>
      </c>
    </row>
    <row r="967" spans="1:11" ht="16.5">
      <c r="A967" s="129"/>
      <c r="B967" s="40" t="s">
        <v>119</v>
      </c>
      <c r="C967" s="24"/>
      <c r="D967" s="24"/>
      <c r="E967" s="24"/>
      <c r="F967" s="24"/>
      <c r="G967" s="24"/>
      <c r="H967" s="24"/>
      <c r="I967" s="45"/>
      <c r="J967" s="46"/>
      <c r="K967" s="22"/>
    </row>
    <row r="968" spans="1:11" ht="16.5">
      <c r="A968" s="129"/>
      <c r="B968" s="31" t="s">
        <v>202</v>
      </c>
      <c r="C968" s="24">
        <v>1</v>
      </c>
      <c r="D968" s="24">
        <f>1.8-0.45</f>
        <v>1.35</v>
      </c>
      <c r="E968" s="24">
        <v>0.75</v>
      </c>
      <c r="F968" s="28">
        <f aca="true" t="shared" si="40" ref="F968:F973">E968*D968*C968</f>
        <v>1.0125000000000002</v>
      </c>
      <c r="G968" s="24"/>
      <c r="H968" s="24"/>
      <c r="I968" s="45"/>
      <c r="J968" s="46"/>
      <c r="K968" s="22"/>
    </row>
    <row r="969" spans="1:11" ht="16.5">
      <c r="A969" s="129"/>
      <c r="B969" s="31"/>
      <c r="C969" s="24">
        <v>1</v>
      </c>
      <c r="D969" s="24">
        <f>1.65-0.45</f>
        <v>1.2</v>
      </c>
      <c r="E969" s="24">
        <v>0.75</v>
      </c>
      <c r="F969" s="28">
        <f t="shared" si="40"/>
        <v>0.8999999999999999</v>
      </c>
      <c r="G969" s="24"/>
      <c r="H969" s="24"/>
      <c r="I969" s="45"/>
      <c r="J969" s="46"/>
      <c r="K969" s="22"/>
    </row>
    <row r="970" spans="1:11" ht="16.5">
      <c r="A970" s="129"/>
      <c r="B970" s="31" t="s">
        <v>203</v>
      </c>
      <c r="C970" s="24"/>
      <c r="D970" s="24"/>
      <c r="E970" s="24"/>
      <c r="F970" s="24"/>
      <c r="G970" s="24"/>
      <c r="H970" s="24"/>
      <c r="I970" s="45"/>
      <c r="J970" s="46"/>
      <c r="K970" s="22"/>
    </row>
    <row r="971" spans="1:11" ht="16.5">
      <c r="A971" s="129"/>
      <c r="B971" s="31" t="s">
        <v>200</v>
      </c>
      <c r="C971" s="24">
        <v>2</v>
      </c>
      <c r="D971" s="24">
        <v>0.6</v>
      </c>
      <c r="E971" s="24">
        <v>0.65</v>
      </c>
      <c r="F971" s="28">
        <f t="shared" si="40"/>
        <v>0.78</v>
      </c>
      <c r="G971" s="24"/>
      <c r="H971" s="24"/>
      <c r="I971" s="45"/>
      <c r="J971" s="46"/>
      <c r="K971" s="22"/>
    </row>
    <row r="972" spans="1:11" ht="16.5">
      <c r="A972" s="129"/>
      <c r="B972" s="31" t="s">
        <v>192</v>
      </c>
      <c r="C972" s="24">
        <v>2</v>
      </c>
      <c r="D972" s="24">
        <v>0.45</v>
      </c>
      <c r="E972" s="24">
        <v>0.65</v>
      </c>
      <c r="F972" s="28">
        <f t="shared" si="40"/>
        <v>0.5850000000000001</v>
      </c>
      <c r="G972" s="24"/>
      <c r="H972" s="24"/>
      <c r="I972" s="45"/>
      <c r="J972" s="46"/>
      <c r="K972" s="22"/>
    </row>
    <row r="973" spans="1:11" ht="16.5">
      <c r="A973" s="129"/>
      <c r="B973" s="31" t="s">
        <v>193</v>
      </c>
      <c r="C973" s="24">
        <v>3</v>
      </c>
      <c r="D973" s="24">
        <v>0.45</v>
      </c>
      <c r="E973" s="24">
        <v>0.6</v>
      </c>
      <c r="F973" s="28">
        <f t="shared" si="40"/>
        <v>0.81</v>
      </c>
      <c r="G973" s="24"/>
      <c r="H973" s="24"/>
      <c r="I973" s="45"/>
      <c r="J973" s="46"/>
      <c r="K973" s="22"/>
    </row>
    <row r="974" spans="1:11" ht="16.5">
      <c r="A974" s="129"/>
      <c r="B974" s="31" t="s">
        <v>204</v>
      </c>
      <c r="C974" s="24"/>
      <c r="D974" s="24"/>
      <c r="E974" s="24"/>
      <c r="F974" s="24"/>
      <c r="G974" s="24"/>
      <c r="H974" s="24"/>
      <c r="I974" s="45"/>
      <c r="J974" s="46"/>
      <c r="K974" s="22"/>
    </row>
    <row r="975" spans="1:11" ht="16.5">
      <c r="A975" s="129"/>
      <c r="B975" s="31" t="s">
        <v>200</v>
      </c>
      <c r="C975" s="24">
        <v>2</v>
      </c>
      <c r="D975" s="24">
        <v>0.45</v>
      </c>
      <c r="E975" s="24">
        <v>0.65</v>
      </c>
      <c r="F975" s="28">
        <f>E975*D975*C975</f>
        <v>0.5850000000000001</v>
      </c>
      <c r="G975" s="24"/>
      <c r="H975" s="24"/>
      <c r="I975" s="45"/>
      <c r="J975" s="46"/>
      <c r="K975" s="22"/>
    </row>
    <row r="976" spans="1:11" ht="16.5">
      <c r="A976" s="129"/>
      <c r="B976" s="31" t="s">
        <v>192</v>
      </c>
      <c r="C976" s="24">
        <v>2</v>
      </c>
      <c r="D976" s="24">
        <v>0.45</v>
      </c>
      <c r="E976" s="24">
        <v>0.65</v>
      </c>
      <c r="F976" s="28">
        <f>E976*D976*C976</f>
        <v>0.5850000000000001</v>
      </c>
      <c r="G976" s="24"/>
      <c r="H976" s="24"/>
      <c r="I976" s="45"/>
      <c r="J976" s="46"/>
      <c r="K976" s="22"/>
    </row>
    <row r="977" spans="1:11" ht="16.5">
      <c r="A977" s="129"/>
      <c r="B977" s="31" t="s">
        <v>193</v>
      </c>
      <c r="C977" s="24">
        <v>4</v>
      </c>
      <c r="D977" s="24">
        <v>0.45</v>
      </c>
      <c r="E977" s="24">
        <v>0.45</v>
      </c>
      <c r="F977" s="28">
        <f>E977*D977*C977</f>
        <v>0.81</v>
      </c>
      <c r="G977" s="24"/>
      <c r="H977" s="24"/>
      <c r="I977" s="45"/>
      <c r="J977" s="46"/>
      <c r="K977" s="22"/>
    </row>
    <row r="978" spans="1:11" ht="16.5">
      <c r="A978" s="129"/>
      <c r="B978" s="31"/>
      <c r="C978" s="24"/>
      <c r="D978" s="24"/>
      <c r="E978" s="24"/>
      <c r="F978" s="28">
        <f>SUM(F968:F977)</f>
        <v>6.067500000000001</v>
      </c>
      <c r="G978" s="24"/>
      <c r="H978" s="42">
        <f>F978*G978%</f>
        <v>0</v>
      </c>
      <c r="I978" s="49">
        <f>F978+H978</f>
        <v>6.067500000000001</v>
      </c>
      <c r="J978" s="44">
        <f>D28</f>
        <v>120</v>
      </c>
      <c r="K978" s="44">
        <f>+J978*I978</f>
        <v>728.1000000000001</v>
      </c>
    </row>
    <row r="979" spans="1:11" ht="16.5">
      <c r="A979" s="129"/>
      <c r="B979" s="40" t="s">
        <v>205</v>
      </c>
      <c r="C979" s="24"/>
      <c r="D979" s="24"/>
      <c r="E979" s="24"/>
      <c r="F979" s="24"/>
      <c r="G979" s="24"/>
      <c r="H979" s="24"/>
      <c r="I979" s="45"/>
      <c r="J979" s="46"/>
      <c r="K979" s="22"/>
    </row>
    <row r="980" spans="1:11" ht="16.5">
      <c r="A980" s="129"/>
      <c r="B980" s="31" t="s">
        <v>206</v>
      </c>
      <c r="C980" s="24">
        <v>2</v>
      </c>
      <c r="D980" s="24">
        <v>0.75</v>
      </c>
      <c r="E980" s="24"/>
      <c r="F980" s="24">
        <f>D980*C980</f>
        <v>1.5</v>
      </c>
      <c r="G980" s="24"/>
      <c r="H980" s="24"/>
      <c r="I980" s="45"/>
      <c r="J980" s="46"/>
      <c r="K980" s="22"/>
    </row>
    <row r="981" spans="1:11" ht="16.5">
      <c r="A981" s="129"/>
      <c r="B981" s="31" t="s">
        <v>207</v>
      </c>
      <c r="C981" s="24">
        <v>2</v>
      </c>
      <c r="D981" s="24">
        <v>0.75</v>
      </c>
      <c r="E981" s="24"/>
      <c r="F981" s="24">
        <f>D981*C981</f>
        <v>1.5</v>
      </c>
      <c r="G981" s="24"/>
      <c r="H981" s="24"/>
      <c r="I981" s="45"/>
      <c r="J981" s="46"/>
      <c r="K981" s="22"/>
    </row>
    <row r="982" spans="1:11" ht="16.5">
      <c r="A982" s="129"/>
      <c r="B982" s="31" t="s">
        <v>208</v>
      </c>
      <c r="C982" s="24">
        <v>2</v>
      </c>
      <c r="D982" s="24">
        <v>0.65</v>
      </c>
      <c r="E982" s="24"/>
      <c r="F982" s="24">
        <f>D982*C982</f>
        <v>1.3</v>
      </c>
      <c r="G982" s="24"/>
      <c r="H982" s="24"/>
      <c r="I982" s="45"/>
      <c r="J982" s="46"/>
      <c r="K982" s="22"/>
    </row>
    <row r="983" spans="1:11" ht="16.5">
      <c r="A983" s="129"/>
      <c r="B983" s="31"/>
      <c r="C983" s="24">
        <v>2</v>
      </c>
      <c r="D983" s="24">
        <v>0.45</v>
      </c>
      <c r="E983" s="24"/>
      <c r="F983" s="24">
        <f>D983*C983</f>
        <v>0.9</v>
      </c>
      <c r="G983" s="24"/>
      <c r="H983" s="24"/>
      <c r="I983" s="45"/>
      <c r="J983" s="46"/>
      <c r="K983" s="22"/>
    </row>
    <row r="984" spans="1:11" ht="16.5">
      <c r="A984" s="129"/>
      <c r="B984" s="31"/>
      <c r="C984" s="24"/>
      <c r="D984" s="24"/>
      <c r="E984" s="24"/>
      <c r="F984" s="24">
        <f>SUM(F980:F983)</f>
        <v>5.2</v>
      </c>
      <c r="G984" s="24"/>
      <c r="H984" s="42">
        <f>F984*G984%</f>
        <v>0</v>
      </c>
      <c r="I984" s="49">
        <f>F984+H984</f>
        <v>5.2</v>
      </c>
      <c r="J984" s="44">
        <f>I117</f>
        <v>12</v>
      </c>
      <c r="K984" s="44">
        <f>+J984*I984</f>
        <v>62.400000000000006</v>
      </c>
    </row>
    <row r="985" spans="1:11" ht="16.5">
      <c r="A985" s="129"/>
      <c r="B985" s="40" t="s">
        <v>209</v>
      </c>
      <c r="C985" s="24"/>
      <c r="D985" s="24"/>
      <c r="E985" s="24"/>
      <c r="F985" s="24"/>
      <c r="G985" s="24"/>
      <c r="H985" s="24"/>
      <c r="I985" s="45"/>
      <c r="J985" s="46"/>
      <c r="K985" s="22"/>
    </row>
    <row r="986" spans="1:11" ht="16.5">
      <c r="A986" s="129"/>
      <c r="B986" s="31" t="s">
        <v>210</v>
      </c>
      <c r="C986" s="24">
        <f>2*3</f>
        <v>6</v>
      </c>
      <c r="D986" s="24">
        <v>0.45</v>
      </c>
      <c r="E986" s="24"/>
      <c r="F986" s="24">
        <f>D986*C986</f>
        <v>2.7</v>
      </c>
      <c r="G986" s="24"/>
      <c r="H986" s="24"/>
      <c r="I986" s="45"/>
      <c r="J986" s="46"/>
      <c r="K986" s="22"/>
    </row>
    <row r="987" spans="1:11" ht="16.5">
      <c r="A987" s="129"/>
      <c r="B987" s="31"/>
      <c r="C987" s="24">
        <f>2*3</f>
        <v>6</v>
      </c>
      <c r="D987" s="24">
        <v>0.6</v>
      </c>
      <c r="E987" s="24"/>
      <c r="F987" s="24">
        <f>D987*C987</f>
        <v>3.5999999999999996</v>
      </c>
      <c r="G987" s="24"/>
      <c r="H987" s="24"/>
      <c r="I987" s="45"/>
      <c r="J987" s="46"/>
      <c r="K987" s="22"/>
    </row>
    <row r="988" spans="1:11" ht="16.5">
      <c r="A988" s="129"/>
      <c r="B988" s="31" t="s">
        <v>211</v>
      </c>
      <c r="C988" s="24">
        <f>2*2</f>
        <v>4</v>
      </c>
      <c r="D988" s="24">
        <v>0.45</v>
      </c>
      <c r="E988" s="24"/>
      <c r="F988" s="24">
        <f>D988*C988</f>
        <v>1.8</v>
      </c>
      <c r="G988" s="24"/>
      <c r="H988" s="24"/>
      <c r="I988" s="45"/>
      <c r="J988" s="46"/>
      <c r="K988" s="22"/>
    </row>
    <row r="989" spans="1:11" ht="16.5">
      <c r="A989" s="129"/>
      <c r="B989" s="31"/>
      <c r="C989" s="24"/>
      <c r="D989" s="24"/>
      <c r="E989" s="24"/>
      <c r="F989" s="24">
        <f>SUM(F986:F988)</f>
        <v>8.1</v>
      </c>
      <c r="G989" s="24"/>
      <c r="H989" s="42">
        <f>F989*G989%</f>
        <v>0</v>
      </c>
      <c r="I989" s="49">
        <f>F989+H989</f>
        <v>8.1</v>
      </c>
      <c r="J989" s="44">
        <f>I125</f>
        <v>9</v>
      </c>
      <c r="K989" s="44">
        <f>+J989*I989</f>
        <v>72.89999999999999</v>
      </c>
    </row>
    <row r="990" spans="1:11" ht="16.5">
      <c r="A990" s="129"/>
      <c r="B990" s="140" t="s">
        <v>212</v>
      </c>
      <c r="C990" s="24"/>
      <c r="D990" s="24"/>
      <c r="E990" s="24"/>
      <c r="F990" s="24"/>
      <c r="G990" s="24"/>
      <c r="H990" s="24"/>
      <c r="I990" s="45"/>
      <c r="J990" s="46"/>
      <c r="K990" s="22"/>
    </row>
    <row r="991" spans="1:11" ht="16.5">
      <c r="A991" s="129"/>
      <c r="B991" s="31" t="s">
        <v>213</v>
      </c>
      <c r="C991" s="24">
        <v>1</v>
      </c>
      <c r="D991" s="24">
        <v>1.65</v>
      </c>
      <c r="E991" s="24">
        <v>0.35</v>
      </c>
      <c r="F991" s="28">
        <f>E991*D991*C991</f>
        <v>0.5774999999999999</v>
      </c>
      <c r="G991" s="24"/>
      <c r="H991" s="24"/>
      <c r="I991" s="45"/>
      <c r="J991" s="46"/>
      <c r="K991" s="22"/>
    </row>
    <row r="992" spans="1:11" ht="16.5">
      <c r="A992" s="129"/>
      <c r="B992" s="31"/>
      <c r="C992" s="24"/>
      <c r="D992" s="24"/>
      <c r="E992" s="24"/>
      <c r="F992" s="28">
        <f>SUM(F991:F991)</f>
        <v>0.5774999999999999</v>
      </c>
      <c r="G992" s="24"/>
      <c r="H992" s="42">
        <f>F992*G992%</f>
        <v>0</v>
      </c>
      <c r="I992" s="49">
        <f>F992+H992</f>
        <v>0.5774999999999999</v>
      </c>
      <c r="J992" s="44">
        <f>$D$26</f>
        <v>1680</v>
      </c>
      <c r="K992" s="44"/>
    </row>
    <row r="993" spans="1:11" ht="16.5">
      <c r="A993" s="129"/>
      <c r="B993" s="40" t="s">
        <v>214</v>
      </c>
      <c r="C993" s="24"/>
      <c r="D993" s="24"/>
      <c r="E993" s="24"/>
      <c r="F993" s="24"/>
      <c r="G993" s="24"/>
      <c r="H993" s="24"/>
      <c r="I993" s="45"/>
      <c r="J993" s="46"/>
      <c r="K993" s="22"/>
    </row>
    <row r="994" spans="1:11" ht="16.5">
      <c r="A994" s="129"/>
      <c r="B994" s="31" t="s">
        <v>215</v>
      </c>
      <c r="C994" s="24">
        <v>1</v>
      </c>
      <c r="D994" s="24"/>
      <c r="E994" s="24"/>
      <c r="F994" s="28">
        <f>C994</f>
        <v>1</v>
      </c>
      <c r="G994" s="24"/>
      <c r="H994" s="42">
        <f>F994*G994%</f>
        <v>0</v>
      </c>
      <c r="I994" s="49">
        <f>F994+H994</f>
        <v>1</v>
      </c>
      <c r="J994" s="44">
        <f>D$33</f>
        <v>550</v>
      </c>
      <c r="K994" s="44">
        <f>+J994*I994</f>
        <v>550</v>
      </c>
    </row>
    <row r="995" spans="1:11" ht="16.5">
      <c r="A995" s="129"/>
      <c r="B995" s="31" t="s">
        <v>216</v>
      </c>
      <c r="C995" s="24">
        <v>1</v>
      </c>
      <c r="D995" s="24"/>
      <c r="E995" s="24"/>
      <c r="F995" s="28">
        <f aca="true" t="shared" si="41" ref="F995:F1000">C995</f>
        <v>1</v>
      </c>
      <c r="G995" s="24"/>
      <c r="H995" s="42">
        <f aca="true" t="shared" si="42" ref="H995:H1000">F995*G995%</f>
        <v>0</v>
      </c>
      <c r="I995" s="49">
        <f aca="true" t="shared" si="43" ref="I995:I1000">F995+H995</f>
        <v>1</v>
      </c>
      <c r="J995" s="46">
        <f>$D$32</f>
        <v>1000</v>
      </c>
      <c r="K995" s="44">
        <f aca="true" t="shared" si="44" ref="K995:K1000">+J995*I995</f>
        <v>1000</v>
      </c>
    </row>
    <row r="996" spans="1:11" ht="16.5">
      <c r="A996" s="129"/>
      <c r="B996" s="31" t="s">
        <v>217</v>
      </c>
      <c r="C996" s="24">
        <v>1</v>
      </c>
      <c r="D996" s="24"/>
      <c r="E996" s="24"/>
      <c r="F996" s="28">
        <f t="shared" si="41"/>
        <v>1</v>
      </c>
      <c r="G996" s="24"/>
      <c r="H996" s="42">
        <f t="shared" si="42"/>
        <v>0</v>
      </c>
      <c r="I996" s="49">
        <f t="shared" si="43"/>
        <v>1</v>
      </c>
      <c r="J996" s="46">
        <f>$D$34</f>
        <v>1100</v>
      </c>
      <c r="K996" s="44">
        <f t="shared" si="44"/>
        <v>1100</v>
      </c>
    </row>
    <row r="997" spans="1:11" ht="16.5">
      <c r="A997" s="129"/>
      <c r="B997" s="31" t="s">
        <v>218</v>
      </c>
      <c r="C997" s="24">
        <v>3</v>
      </c>
      <c r="D997" s="24"/>
      <c r="E997" s="24"/>
      <c r="F997" s="28">
        <f t="shared" si="41"/>
        <v>3</v>
      </c>
      <c r="G997" s="24"/>
      <c r="H997" s="42">
        <f t="shared" si="42"/>
        <v>0</v>
      </c>
      <c r="I997" s="49">
        <f t="shared" si="43"/>
        <v>3</v>
      </c>
      <c r="J997" s="46">
        <f>$D$37</f>
        <v>125</v>
      </c>
      <c r="K997" s="44">
        <f t="shared" si="44"/>
        <v>375</v>
      </c>
    </row>
    <row r="998" spans="1:11" ht="16.5">
      <c r="A998" s="129"/>
      <c r="B998" s="31" t="s">
        <v>219</v>
      </c>
      <c r="C998" s="24">
        <v>1</v>
      </c>
      <c r="D998" s="24"/>
      <c r="E998" s="24"/>
      <c r="F998" s="28">
        <f t="shared" si="41"/>
        <v>1</v>
      </c>
      <c r="G998" s="24"/>
      <c r="H998" s="42">
        <f t="shared" si="42"/>
        <v>0</v>
      </c>
      <c r="I998" s="49">
        <f t="shared" si="43"/>
        <v>1</v>
      </c>
      <c r="J998" s="46">
        <f>$D$38</f>
        <v>100</v>
      </c>
      <c r="K998" s="44">
        <f t="shared" si="44"/>
        <v>100</v>
      </c>
    </row>
    <row r="999" spans="1:11" ht="16.5">
      <c r="A999" s="129"/>
      <c r="B999" s="31" t="s">
        <v>220</v>
      </c>
      <c r="C999" s="24"/>
      <c r="D999" s="24"/>
      <c r="E999" s="24"/>
      <c r="F999" s="28"/>
      <c r="G999" s="24"/>
      <c r="H999" s="42"/>
      <c r="I999" s="49"/>
      <c r="J999" s="46">
        <f>$D$40</f>
        <v>125</v>
      </c>
      <c r="K999" s="44"/>
    </row>
    <row r="1000" spans="1:11" ht="19.5" customHeight="1">
      <c r="A1000" s="129"/>
      <c r="B1000" s="31" t="s">
        <v>221</v>
      </c>
      <c r="C1000" s="24">
        <v>4</v>
      </c>
      <c r="D1000" s="24"/>
      <c r="E1000" s="24"/>
      <c r="F1000" s="28">
        <f t="shared" si="41"/>
        <v>4</v>
      </c>
      <c r="G1000" s="24"/>
      <c r="H1000" s="42">
        <f t="shared" si="42"/>
        <v>0</v>
      </c>
      <c r="I1000" s="49">
        <f t="shared" si="43"/>
        <v>4</v>
      </c>
      <c r="J1000" s="46">
        <f>$D$39</f>
        <v>200</v>
      </c>
      <c r="K1000" s="44">
        <f t="shared" si="44"/>
        <v>800</v>
      </c>
    </row>
    <row r="1001" spans="1:11" ht="19.5" customHeight="1">
      <c r="A1001" s="129"/>
      <c r="B1001" s="32" t="s">
        <v>133</v>
      </c>
      <c r="C1001" s="24">
        <v>4</v>
      </c>
      <c r="D1001" s="24"/>
      <c r="E1001" s="24"/>
      <c r="F1001" s="28">
        <f>C1001</f>
        <v>4</v>
      </c>
      <c r="G1001" s="24"/>
      <c r="H1001" s="42">
        <f>F1001*G1001%</f>
        <v>0</v>
      </c>
      <c r="I1001" s="49">
        <f>F1001+H1001</f>
        <v>4</v>
      </c>
      <c r="J1001" s="46">
        <f>$D$41</f>
        <v>100</v>
      </c>
      <c r="K1001" s="44">
        <f>+J1001*I1001</f>
        <v>400</v>
      </c>
    </row>
    <row r="1002" spans="1:11" ht="15.75">
      <c r="A1002" s="145"/>
      <c r="B1002" s="30" t="s">
        <v>222</v>
      </c>
      <c r="C1002" s="30"/>
      <c r="D1002" s="42"/>
      <c r="E1002" s="30"/>
      <c r="F1002" s="49"/>
      <c r="G1002" s="30"/>
      <c r="H1002" s="50"/>
      <c r="I1002" s="49"/>
      <c r="J1002" s="44"/>
      <c r="K1002" s="44">
        <v>10000</v>
      </c>
    </row>
    <row r="1003" spans="1:11" ht="16.5">
      <c r="A1003" s="145"/>
      <c r="B1003" s="25" t="s">
        <v>14</v>
      </c>
      <c r="C1003" s="30"/>
      <c r="D1003" s="30"/>
      <c r="E1003" s="30"/>
      <c r="F1003" s="30"/>
      <c r="G1003" s="30"/>
      <c r="H1003" s="30"/>
      <c r="I1003" s="43"/>
      <c r="J1003" s="44"/>
      <c r="K1003" s="51">
        <f>SUM(K927:K1002)</f>
        <v>48641.69812500001</v>
      </c>
    </row>
    <row r="1004" spans="1:11" ht="15.75">
      <c r="A1004" s="145"/>
      <c r="B1004" s="16" t="str">
        <f>$B$7</f>
        <v>Add Towards Overhead and Profit</v>
      </c>
      <c r="C1004" s="60"/>
      <c r="D1004" s="52"/>
      <c r="E1004" s="52"/>
      <c r="F1004" s="18">
        <f>$F$7</f>
        <v>15</v>
      </c>
      <c r="G1004" s="24"/>
      <c r="H1004" s="24"/>
      <c r="I1004" s="53"/>
      <c r="J1004" s="15"/>
      <c r="K1004" s="46">
        <f>+K1003*F1004%</f>
        <v>7296.254718750001</v>
      </c>
    </row>
    <row r="1005" spans="1:11" ht="15.75">
      <c r="A1005" s="145"/>
      <c r="B1005" s="16" t="s">
        <v>223</v>
      </c>
      <c r="C1005" s="60"/>
      <c r="D1005" s="52"/>
      <c r="E1005" s="52"/>
      <c r="F1005" s="18"/>
      <c r="G1005" s="24"/>
      <c r="H1005" s="24"/>
      <c r="I1005" s="53"/>
      <c r="J1005" s="15"/>
      <c r="K1005" s="46">
        <f>SUM(K1003:K1004)</f>
        <v>55937.95284375001</v>
      </c>
    </row>
    <row r="1006" spans="1:11" ht="16.5">
      <c r="A1006" s="145"/>
      <c r="B1006" s="25"/>
      <c r="C1006" s="13"/>
      <c r="D1006" s="25"/>
      <c r="E1006" s="25"/>
      <c r="F1006" s="25"/>
      <c r="G1006" s="25"/>
      <c r="H1006" s="25"/>
      <c r="I1006" s="54" t="s">
        <v>224</v>
      </c>
      <c r="J1006" s="26"/>
      <c r="K1006" s="69">
        <v>56000</v>
      </c>
    </row>
    <row r="1007" spans="1:11" ht="33">
      <c r="A1007" s="129">
        <f>A926+1</f>
        <v>19</v>
      </c>
      <c r="B1007" s="40" t="s">
        <v>73</v>
      </c>
      <c r="C1007" s="24"/>
      <c r="D1007" s="24"/>
      <c r="E1007" s="24"/>
      <c r="F1007" s="24"/>
      <c r="G1007" s="24"/>
      <c r="H1007" s="24"/>
      <c r="I1007" s="45"/>
      <c r="J1007" s="46"/>
      <c r="K1007" s="22"/>
    </row>
    <row r="1008" spans="1:11" ht="19.5" customHeight="1">
      <c r="A1008" s="129"/>
      <c r="B1008" s="139" t="s">
        <v>212</v>
      </c>
      <c r="C1008" s="24">
        <v>1</v>
      </c>
      <c r="D1008" s="24">
        <v>0.45</v>
      </c>
      <c r="E1008" s="24">
        <v>1.2</v>
      </c>
      <c r="F1008" s="24">
        <f>E1008*D1008*C1008</f>
        <v>0.54</v>
      </c>
      <c r="G1008" s="24"/>
      <c r="H1008" s="42">
        <f>F1008*G1008%</f>
        <v>0</v>
      </c>
      <c r="I1008" s="49">
        <f>F1008+H1008</f>
        <v>0.54</v>
      </c>
      <c r="J1008" s="44">
        <f>$D$26</f>
        <v>1680</v>
      </c>
      <c r="K1008" s="44">
        <f>+J1008*I1008</f>
        <v>907.2</v>
      </c>
    </row>
    <row r="1009" spans="1:11" ht="19.5" customHeight="1">
      <c r="A1009" s="129"/>
      <c r="B1009" s="32" t="s">
        <v>133</v>
      </c>
      <c r="C1009" s="24">
        <v>4</v>
      </c>
      <c r="D1009" s="24"/>
      <c r="E1009" s="24"/>
      <c r="F1009" s="28">
        <f>C1009</f>
        <v>4</v>
      </c>
      <c r="G1009" s="24"/>
      <c r="H1009" s="42">
        <f>F1009*G1009%</f>
        <v>0</v>
      </c>
      <c r="I1009" s="49">
        <f>F1009+H1009</f>
        <v>4</v>
      </c>
      <c r="J1009" s="46">
        <f>$D$41</f>
        <v>100</v>
      </c>
      <c r="K1009" s="44">
        <f>+J1009*I1009</f>
        <v>400</v>
      </c>
    </row>
    <row r="1010" spans="1:11" ht="15.75">
      <c r="A1010" s="145"/>
      <c r="B1010" s="30" t="s">
        <v>222</v>
      </c>
      <c r="C1010" s="30"/>
      <c r="D1010" s="42"/>
      <c r="E1010" s="30"/>
      <c r="F1010" s="49"/>
      <c r="G1010" s="30"/>
      <c r="H1010" s="50"/>
      <c r="I1010" s="49"/>
      <c r="J1010" s="44"/>
      <c r="K1010" s="44">
        <v>750</v>
      </c>
    </row>
    <row r="1011" spans="1:11" ht="16.5">
      <c r="A1011" s="145"/>
      <c r="B1011" s="25" t="s">
        <v>14</v>
      </c>
      <c r="C1011" s="30"/>
      <c r="D1011" s="30"/>
      <c r="E1011" s="30"/>
      <c r="F1011" s="30"/>
      <c r="G1011" s="30"/>
      <c r="H1011" s="30"/>
      <c r="I1011" s="43"/>
      <c r="J1011" s="44"/>
      <c r="K1011" s="51">
        <f>SUM(K1008:K1010)</f>
        <v>2057.2</v>
      </c>
    </row>
    <row r="1012" spans="1:11" ht="15.75">
      <c r="A1012" s="145"/>
      <c r="B1012" s="16" t="str">
        <f>$B$7</f>
        <v>Add Towards Overhead and Profit</v>
      </c>
      <c r="C1012" s="60"/>
      <c r="D1012" s="52"/>
      <c r="E1012" s="52"/>
      <c r="F1012" s="18">
        <f>$F$7</f>
        <v>15</v>
      </c>
      <c r="G1012" s="24"/>
      <c r="H1012" s="24"/>
      <c r="I1012" s="53"/>
      <c r="J1012" s="15"/>
      <c r="K1012" s="46">
        <f>+K1011*F1012%</f>
        <v>308.58</v>
      </c>
    </row>
    <row r="1013" spans="1:11" ht="15.75">
      <c r="A1013" s="145"/>
      <c r="B1013" s="16" t="s">
        <v>223</v>
      </c>
      <c r="C1013" s="60"/>
      <c r="D1013" s="52"/>
      <c r="E1013" s="52"/>
      <c r="F1013" s="18"/>
      <c r="G1013" s="24"/>
      <c r="H1013" s="24"/>
      <c r="I1013" s="53"/>
      <c r="J1013" s="15"/>
      <c r="K1013" s="46">
        <f>SUM(K1011:K1012)</f>
        <v>2365.7799999999997</v>
      </c>
    </row>
    <row r="1014" spans="1:11" ht="17.25">
      <c r="A1014" s="145"/>
      <c r="B1014" s="25"/>
      <c r="C1014" s="13"/>
      <c r="D1014" s="25"/>
      <c r="E1014" s="25"/>
      <c r="F1014" s="25"/>
      <c r="G1014" s="25"/>
      <c r="H1014" s="25"/>
      <c r="I1014" s="119" t="s">
        <v>224</v>
      </c>
      <c r="J1014" s="112"/>
      <c r="K1014" s="55">
        <v>2500</v>
      </c>
    </row>
    <row r="1015" spans="1:11" ht="16.5">
      <c r="A1015" s="129"/>
      <c r="B1015" s="40"/>
      <c r="C1015" s="24"/>
      <c r="D1015" s="24"/>
      <c r="E1015" s="24"/>
      <c r="F1015" s="24"/>
      <c r="G1015" s="24"/>
      <c r="H1015" s="24"/>
      <c r="I1015" s="45"/>
      <c r="J1015" s="46"/>
      <c r="K1015" s="22"/>
    </row>
    <row r="1016" spans="1:11" ht="16.5" customHeight="1">
      <c r="A1016" s="132">
        <f>A1007+1</f>
        <v>20</v>
      </c>
      <c r="B1016" s="40" t="s">
        <v>310</v>
      </c>
      <c r="C1016" s="25"/>
      <c r="D1016" s="25"/>
      <c r="E1016" s="25">
        <v>1.2</v>
      </c>
      <c r="F1016" s="25" t="s">
        <v>225</v>
      </c>
      <c r="G1016" s="25">
        <v>1.2</v>
      </c>
      <c r="H1016" s="25" t="s">
        <v>225</v>
      </c>
      <c r="I1016" s="25">
        <v>1.05</v>
      </c>
      <c r="J1016" s="26" t="s">
        <v>225</v>
      </c>
      <c r="K1016" s="102">
        <f>I1016*E1016</f>
        <v>1.26</v>
      </c>
    </row>
    <row r="1017" spans="1:11" ht="16.5">
      <c r="A1017" s="145"/>
      <c r="B1017" s="102" t="s">
        <v>279</v>
      </c>
      <c r="C1017" s="70"/>
      <c r="D1017" s="70"/>
      <c r="E1017" s="70"/>
      <c r="F1017" s="70"/>
      <c r="G1017" s="70"/>
      <c r="H1017" s="70"/>
      <c r="I1017" s="105"/>
      <c r="J1017" s="91"/>
      <c r="K1017" s="91"/>
    </row>
    <row r="1018" spans="1:11" ht="15.75">
      <c r="A1018" s="145"/>
      <c r="B1018" s="70" t="s">
        <v>181</v>
      </c>
      <c r="C1018" s="70">
        <v>1</v>
      </c>
      <c r="D1018" s="70">
        <f>E1016</f>
        <v>1.2</v>
      </c>
      <c r="E1018" s="70">
        <f>G1016</f>
        <v>1.2</v>
      </c>
      <c r="F1018" s="107">
        <f>C1018*D1018*E1018</f>
        <v>1.44</v>
      </c>
      <c r="G1018" s="74"/>
      <c r="H1018" s="107"/>
      <c r="I1018" s="96"/>
      <c r="J1018" s="91"/>
      <c r="K1018" s="91"/>
    </row>
    <row r="1019" spans="1:11" ht="15.75">
      <c r="A1019" s="145"/>
      <c r="B1019" s="70"/>
      <c r="C1019" s="70">
        <v>8</v>
      </c>
      <c r="D1019" s="70">
        <v>0.225</v>
      </c>
      <c r="E1019" s="70">
        <v>0.15</v>
      </c>
      <c r="F1019" s="107">
        <f>C1019*D1019*E1019</f>
        <v>0.27</v>
      </c>
      <c r="G1019" s="74"/>
      <c r="H1019" s="107"/>
      <c r="I1019" s="96"/>
      <c r="J1019" s="91"/>
      <c r="K1019" s="91"/>
    </row>
    <row r="1020" spans="1:11" ht="15.75">
      <c r="A1020" s="145"/>
      <c r="B1020" s="70"/>
      <c r="C1020" s="70"/>
      <c r="D1020" s="70"/>
      <c r="E1020" s="70"/>
      <c r="F1020" s="107">
        <f>SUM(F1018:F1019)</f>
        <v>1.71</v>
      </c>
      <c r="G1020" s="74"/>
      <c r="H1020" s="107">
        <f>F1020*G1020%</f>
        <v>0</v>
      </c>
      <c r="I1020" s="96">
        <f>F1020+H1020</f>
        <v>1.71</v>
      </c>
      <c r="J1020" s="91">
        <f>$D$11</f>
        <v>1325</v>
      </c>
      <c r="K1020" s="91">
        <f>+J1020*I1020</f>
        <v>2265.75</v>
      </c>
    </row>
    <row r="1021" spans="1:11" ht="16.5">
      <c r="A1021" s="145"/>
      <c r="B1021" s="40" t="s">
        <v>188</v>
      </c>
      <c r="C1021" s="24"/>
      <c r="D1021" s="24"/>
      <c r="E1021" s="24"/>
      <c r="F1021" s="28"/>
      <c r="G1021" s="30"/>
      <c r="H1021" s="42"/>
      <c r="I1021" s="43"/>
      <c r="J1021" s="44"/>
      <c r="K1021" s="44"/>
    </row>
    <row r="1022" spans="1:11" ht="15.75">
      <c r="A1022" s="145"/>
      <c r="B1022" s="31" t="s">
        <v>311</v>
      </c>
      <c r="C1022" s="70">
        <v>8</v>
      </c>
      <c r="D1022" s="70">
        <v>0.225</v>
      </c>
      <c r="E1022" s="70">
        <v>0.15</v>
      </c>
      <c r="F1022" s="107">
        <f>C1022*D1022*E1022</f>
        <v>0.27</v>
      </c>
      <c r="G1022" s="24"/>
      <c r="H1022" s="24"/>
      <c r="I1022" s="45"/>
      <c r="J1022" s="46"/>
      <c r="K1022" s="22"/>
    </row>
    <row r="1023" spans="1:11" ht="15.75">
      <c r="A1023" s="145"/>
      <c r="B1023" s="31"/>
      <c r="C1023" s="70">
        <v>8</v>
      </c>
      <c r="D1023" s="70">
        <v>0.175</v>
      </c>
      <c r="E1023" s="70">
        <v>0.9</v>
      </c>
      <c r="F1023" s="107">
        <f>C1023*D1023*E1023</f>
        <v>1.26</v>
      </c>
      <c r="G1023" s="24"/>
      <c r="H1023" s="24"/>
      <c r="I1023" s="45"/>
      <c r="J1023" s="46"/>
      <c r="K1023" s="22"/>
    </row>
    <row r="1024" spans="1:11" ht="15.75">
      <c r="A1024" s="145"/>
      <c r="B1024" s="31"/>
      <c r="C1024" s="70">
        <v>2</v>
      </c>
      <c r="D1024" s="70">
        <v>0.4</v>
      </c>
      <c r="E1024" s="70">
        <v>0.9</v>
      </c>
      <c r="F1024" s="107">
        <f>C1024*D1024*E1024</f>
        <v>0.7200000000000001</v>
      </c>
      <c r="G1024" s="24"/>
      <c r="H1024" s="24"/>
      <c r="I1024" s="45"/>
      <c r="J1024" s="46"/>
      <c r="K1024" s="22"/>
    </row>
    <row r="1025" spans="1:11" ht="15.75">
      <c r="A1025" s="130"/>
      <c r="B1025" s="31"/>
      <c r="C1025" s="24"/>
      <c r="D1025" s="24"/>
      <c r="E1025" s="24"/>
      <c r="F1025" s="28">
        <f>SUM(F1022:F1024)</f>
        <v>2.25</v>
      </c>
      <c r="G1025" s="30">
        <v>5</v>
      </c>
      <c r="H1025" s="42">
        <f>F1025*G1025%</f>
        <v>0.1125</v>
      </c>
      <c r="I1025" s="43">
        <f>F1025+H1025</f>
        <v>2.3625</v>
      </c>
      <c r="J1025" s="44">
        <f>$D$9</f>
        <v>550</v>
      </c>
      <c r="K1025" s="44">
        <f>+J1025*I1025</f>
        <v>1299.375</v>
      </c>
    </row>
    <row r="1026" spans="1:11" ht="16.5">
      <c r="A1026" s="130"/>
      <c r="B1026" s="140" t="s">
        <v>104</v>
      </c>
      <c r="C1026" s="31"/>
      <c r="D1026" s="24"/>
      <c r="E1026" s="24"/>
      <c r="F1026" s="24"/>
      <c r="G1026" s="24"/>
      <c r="H1026" s="24"/>
      <c r="I1026" s="90"/>
      <c r="J1026" s="15"/>
      <c r="K1026" s="15"/>
    </row>
    <row r="1027" spans="1:11" ht="15.75">
      <c r="A1027" s="130"/>
      <c r="B1027" s="31" t="s">
        <v>259</v>
      </c>
      <c r="C1027" s="70">
        <f>8*2</f>
        <v>16</v>
      </c>
      <c r="D1027" s="70">
        <v>0.225</v>
      </c>
      <c r="E1027" s="70">
        <v>0.15</v>
      </c>
      <c r="F1027" s="107">
        <f>C1027*D1027*E1027</f>
        <v>0.54</v>
      </c>
      <c r="G1027" s="13"/>
      <c r="H1027" s="24"/>
      <c r="I1027" s="53"/>
      <c r="J1027" s="15"/>
      <c r="K1027" s="15"/>
    </row>
    <row r="1028" spans="1:11" ht="15.75">
      <c r="A1028" s="130"/>
      <c r="B1028" s="24"/>
      <c r="C1028" s="70">
        <v>8</v>
      </c>
      <c r="D1028" s="70">
        <v>0.175</v>
      </c>
      <c r="E1028" s="70">
        <v>0.9</v>
      </c>
      <c r="F1028" s="107">
        <f>C1028*D1028*E1028</f>
        <v>1.26</v>
      </c>
      <c r="G1028" s="24"/>
      <c r="H1028" s="24"/>
      <c r="I1028" s="90"/>
      <c r="J1028" s="15"/>
      <c r="K1028" s="15"/>
    </row>
    <row r="1029" spans="1:11" ht="15.75">
      <c r="A1029" s="130"/>
      <c r="B1029" s="31" t="s">
        <v>258</v>
      </c>
      <c r="C1029" s="24">
        <v>1</v>
      </c>
      <c r="D1029" s="24">
        <v>1.2</v>
      </c>
      <c r="E1029" s="24">
        <v>1.2</v>
      </c>
      <c r="F1029" s="107">
        <f>C1029*D1029*E1029</f>
        <v>1.44</v>
      </c>
      <c r="G1029" s="31"/>
      <c r="H1029" s="31"/>
      <c r="I1029" s="14"/>
      <c r="J1029" s="15"/>
      <c r="K1029" s="13"/>
    </row>
    <row r="1030" spans="1:11" ht="15.75">
      <c r="A1030" s="130"/>
      <c r="B1030" s="31"/>
      <c r="C1030" s="24"/>
      <c r="D1030" s="31"/>
      <c r="E1030" s="31"/>
      <c r="F1030" s="28">
        <f>SUM(F1027:F1029)</f>
        <v>3.24</v>
      </c>
      <c r="G1030" s="13">
        <v>10</v>
      </c>
      <c r="H1030" s="24">
        <f>F1030*G1030%</f>
        <v>0.32400000000000007</v>
      </c>
      <c r="I1030" s="53">
        <f>F1030+H1030</f>
        <v>3.564</v>
      </c>
      <c r="J1030" s="91">
        <f>$D$15</f>
        <v>550</v>
      </c>
      <c r="K1030" s="15">
        <f>+J1030*I1030</f>
        <v>1960.2</v>
      </c>
    </row>
    <row r="1031" spans="1:11" ht="16.5">
      <c r="A1031" s="33"/>
      <c r="B1031" s="25" t="s">
        <v>270</v>
      </c>
      <c r="C1031" s="24"/>
      <c r="D1031" s="45"/>
      <c r="E1031" s="24"/>
      <c r="F1031" s="45"/>
      <c r="G1031" s="13"/>
      <c r="H1031" s="24"/>
      <c r="I1031" s="53"/>
      <c r="J1031" s="91"/>
      <c r="K1031" s="15"/>
    </row>
    <row r="1032" spans="1:11" ht="15.75">
      <c r="A1032" s="33"/>
      <c r="B1032" s="24"/>
      <c r="C1032" s="70">
        <v>8</v>
      </c>
      <c r="D1032" s="70">
        <v>0.225</v>
      </c>
      <c r="E1032" s="70"/>
      <c r="F1032" s="107">
        <f>D1032*C1032</f>
        <v>1.8</v>
      </c>
      <c r="G1032" s="13"/>
      <c r="H1032" s="24"/>
      <c r="I1032" s="53"/>
      <c r="J1032" s="91"/>
      <c r="K1032" s="15"/>
    </row>
    <row r="1033" spans="1:11" ht="15.75">
      <c r="A1033" s="33"/>
      <c r="B1033" s="24"/>
      <c r="C1033" s="70">
        <v>8</v>
      </c>
      <c r="D1033" s="70">
        <v>0.15</v>
      </c>
      <c r="E1033" s="70"/>
      <c r="F1033" s="107">
        <f>D1033*C1033</f>
        <v>1.2</v>
      </c>
      <c r="G1033" s="13"/>
      <c r="H1033" s="24"/>
      <c r="I1033" s="53"/>
      <c r="J1033" s="91"/>
      <c r="K1033" s="15"/>
    </row>
    <row r="1034" spans="1:11" ht="15.75">
      <c r="A1034" s="33"/>
      <c r="B1034" s="24"/>
      <c r="C1034" s="70">
        <v>1</v>
      </c>
      <c r="D1034" s="70">
        <v>6.4</v>
      </c>
      <c r="E1034" s="70"/>
      <c r="F1034" s="107">
        <f>D1034*C1034</f>
        <v>6.4</v>
      </c>
      <c r="G1034" s="13"/>
      <c r="H1034" s="24"/>
      <c r="I1034" s="53"/>
      <c r="J1034" s="91"/>
      <c r="K1034" s="15"/>
    </row>
    <row r="1035" spans="1:11" ht="16.5">
      <c r="A1035" s="33"/>
      <c r="B1035" s="140"/>
      <c r="C1035" s="24"/>
      <c r="D1035" s="45"/>
      <c r="E1035" s="24"/>
      <c r="F1035" s="45">
        <f>SUM(F1032:F1034)</f>
        <v>9.4</v>
      </c>
      <c r="G1035" s="13"/>
      <c r="H1035" s="24"/>
      <c r="I1035" s="53">
        <f>F1035+H1035</f>
        <v>9.4</v>
      </c>
      <c r="J1035" s="91">
        <f>$I$125</f>
        <v>9</v>
      </c>
      <c r="K1035" s="15">
        <f>+J1035*I1035</f>
        <v>84.60000000000001</v>
      </c>
    </row>
    <row r="1036" spans="1:11" ht="15.75">
      <c r="A1036" s="33"/>
      <c r="B1036" s="24" t="s">
        <v>271</v>
      </c>
      <c r="C1036" s="24">
        <v>1</v>
      </c>
      <c r="D1036" s="24">
        <f>F1030</f>
        <v>3.24</v>
      </c>
      <c r="E1036" s="24">
        <v>3</v>
      </c>
      <c r="F1036" s="24">
        <f>C1036*D1036/E1036</f>
        <v>1.08</v>
      </c>
      <c r="G1036" s="24"/>
      <c r="H1036" s="24"/>
      <c r="I1036" s="90">
        <f>F1036</f>
        <v>1.08</v>
      </c>
      <c r="J1036" s="91">
        <f>$D$27</f>
        <v>225</v>
      </c>
      <c r="K1036" s="15">
        <f>+J1036*I1036</f>
        <v>243.00000000000003</v>
      </c>
    </row>
    <row r="1037" spans="1:11" ht="15.75">
      <c r="A1037" s="6"/>
      <c r="B1037" s="70" t="s">
        <v>312</v>
      </c>
      <c r="C1037" s="70">
        <v>1</v>
      </c>
      <c r="D1037" s="70">
        <v>1</v>
      </c>
      <c r="E1037" s="70"/>
      <c r="F1037" s="70">
        <f>C1037*D1037</f>
        <v>1</v>
      </c>
      <c r="G1037" s="70"/>
      <c r="H1037" s="70"/>
      <c r="I1037" s="77">
        <f>F1037</f>
        <v>1</v>
      </c>
      <c r="J1037" s="91">
        <v>300</v>
      </c>
      <c r="K1037" s="91">
        <f>+J1037*I1037</f>
        <v>300</v>
      </c>
    </row>
    <row r="1038" spans="1:11" ht="15.75">
      <c r="A1038" s="6"/>
      <c r="B1038" s="70" t="s">
        <v>313</v>
      </c>
      <c r="C1038" s="70"/>
      <c r="D1038" s="70"/>
      <c r="E1038" s="70"/>
      <c r="F1038" s="70"/>
      <c r="G1038" s="70"/>
      <c r="H1038" s="70"/>
      <c r="I1038" s="83"/>
      <c r="J1038" s="91">
        <v>2500</v>
      </c>
      <c r="K1038" s="91">
        <f>J1038</f>
        <v>2500</v>
      </c>
    </row>
    <row r="1039" spans="1:11" ht="16.5">
      <c r="A1039" s="33"/>
      <c r="B1039" s="25" t="s">
        <v>14</v>
      </c>
      <c r="C1039" s="24"/>
      <c r="D1039" s="24"/>
      <c r="E1039" s="24"/>
      <c r="F1039" s="24"/>
      <c r="G1039" s="24"/>
      <c r="H1039" s="24"/>
      <c r="I1039" s="53"/>
      <c r="J1039" s="15"/>
      <c r="K1039" s="38">
        <f>SUM(K1020:K1038)</f>
        <v>8652.925</v>
      </c>
    </row>
    <row r="1040" spans="1:11" ht="15.75">
      <c r="A1040" s="33"/>
      <c r="B1040" s="16" t="str">
        <f>$B$7</f>
        <v>Add Towards Overhead and Profit</v>
      </c>
      <c r="C1040" s="16"/>
      <c r="D1040" s="33"/>
      <c r="E1040" s="33"/>
      <c r="F1040" s="18">
        <f>$F$7</f>
        <v>15</v>
      </c>
      <c r="G1040" s="24"/>
      <c r="H1040" s="24"/>
      <c r="I1040" s="53"/>
      <c r="J1040" s="15"/>
      <c r="K1040" s="46">
        <f>+K1039*F1040%</f>
        <v>1297.9387499999998</v>
      </c>
    </row>
    <row r="1041" spans="1:11" ht="15.75">
      <c r="A1041" s="33"/>
      <c r="B1041" s="16" t="s">
        <v>223</v>
      </c>
      <c r="C1041" s="13"/>
      <c r="D1041" s="33"/>
      <c r="E1041" s="33"/>
      <c r="F1041" s="18"/>
      <c r="G1041" s="24"/>
      <c r="H1041" s="24"/>
      <c r="I1041" s="53"/>
      <c r="J1041" s="15"/>
      <c r="K1041" s="46">
        <f>SUM(K1039:K1040)</f>
        <v>9950.863749999999</v>
      </c>
    </row>
    <row r="1042" spans="1:11" ht="17.25">
      <c r="A1042" s="6"/>
      <c r="B1042" s="25" t="s">
        <v>314</v>
      </c>
      <c r="C1042" s="13"/>
      <c r="D1042" s="25"/>
      <c r="E1042" s="25"/>
      <c r="F1042" s="25"/>
      <c r="G1042" s="25"/>
      <c r="H1042" s="25"/>
      <c r="I1042" s="111" t="s">
        <v>224</v>
      </c>
      <c r="J1042" s="112"/>
      <c r="K1042" s="55">
        <v>10000</v>
      </c>
    </row>
    <row r="1043" spans="1:11" ht="15.75">
      <c r="A1043" s="6"/>
      <c r="B1043" s="13"/>
      <c r="C1043" s="13"/>
      <c r="D1043" s="13"/>
      <c r="E1043" s="13"/>
      <c r="F1043" s="13"/>
      <c r="G1043" s="13"/>
      <c r="H1043" s="13"/>
      <c r="I1043" s="14"/>
      <c r="J1043" s="15"/>
      <c r="K1043" s="13"/>
    </row>
    <row r="1044" spans="1:11" ht="16.5" customHeight="1">
      <c r="A1044" s="132">
        <f>A1016+1</f>
        <v>21</v>
      </c>
      <c r="B1044" s="40" t="s">
        <v>342</v>
      </c>
      <c r="C1044" s="25"/>
      <c r="D1044" s="25"/>
      <c r="E1044" s="25">
        <v>0.75</v>
      </c>
      <c r="F1044" s="25" t="s">
        <v>225</v>
      </c>
      <c r="G1044" s="25">
        <v>0.45</v>
      </c>
      <c r="H1044" s="25" t="s">
        <v>225</v>
      </c>
      <c r="I1044" s="25">
        <v>0.3</v>
      </c>
      <c r="J1044" s="26" t="s">
        <v>225</v>
      </c>
      <c r="K1044" s="102">
        <f>I1044*E1044</f>
        <v>0.22499999999999998</v>
      </c>
    </row>
    <row r="1045" spans="1:11" ht="16.5">
      <c r="A1045" s="145"/>
      <c r="B1045" s="40" t="s">
        <v>182</v>
      </c>
      <c r="C1045" s="70"/>
      <c r="D1045" s="70"/>
      <c r="E1045" s="70"/>
      <c r="F1045" s="70"/>
      <c r="G1045" s="70"/>
      <c r="H1045" s="70"/>
      <c r="I1045" s="105"/>
      <c r="J1045" s="91"/>
      <c r="K1045" s="91"/>
    </row>
    <row r="1046" spans="1:11" ht="15.75">
      <c r="A1046" s="145"/>
      <c r="B1046" s="70" t="s">
        <v>193</v>
      </c>
      <c r="C1046" s="70">
        <v>1</v>
      </c>
      <c r="D1046" s="70">
        <f>E1044</f>
        <v>0.75</v>
      </c>
      <c r="E1046" s="70">
        <f>G1044</f>
        <v>0.45</v>
      </c>
      <c r="F1046" s="107">
        <f>C1046*D1046*E1046</f>
        <v>0.3375</v>
      </c>
      <c r="G1046" s="74"/>
      <c r="H1046" s="107"/>
      <c r="I1046" s="96"/>
      <c r="J1046" s="91"/>
      <c r="K1046" s="91"/>
    </row>
    <row r="1047" spans="1:11" ht="15.75">
      <c r="A1047" s="145"/>
      <c r="B1047" s="70" t="s">
        <v>259</v>
      </c>
      <c r="C1047" s="70">
        <v>2</v>
      </c>
      <c r="D1047" s="70">
        <f>G1044</f>
        <v>0.45</v>
      </c>
      <c r="E1047" s="70">
        <f>I1044</f>
        <v>0.3</v>
      </c>
      <c r="F1047" s="107">
        <f>C1047*D1047*E1047</f>
        <v>0.27</v>
      </c>
      <c r="G1047" s="74"/>
      <c r="H1047" s="107"/>
      <c r="I1047" s="96"/>
      <c r="J1047" s="91"/>
      <c r="K1047" s="91"/>
    </row>
    <row r="1048" spans="1:11" ht="15.75">
      <c r="A1048" s="145"/>
      <c r="B1048" s="70" t="s">
        <v>343</v>
      </c>
      <c r="C1048" s="70">
        <v>8</v>
      </c>
      <c r="D1048" s="70">
        <f>E1044</f>
        <v>0.75</v>
      </c>
      <c r="E1048" s="70">
        <f>I1044</f>
        <v>0.3</v>
      </c>
      <c r="F1048" s="107">
        <f>C1048*D1048*E1048</f>
        <v>1.7999999999999998</v>
      </c>
      <c r="G1048" s="74"/>
      <c r="H1048" s="107"/>
      <c r="I1048" s="96"/>
      <c r="J1048" s="91"/>
      <c r="K1048" s="91"/>
    </row>
    <row r="1049" spans="1:11" ht="15.75">
      <c r="A1049" s="145"/>
      <c r="B1049" s="70" t="s">
        <v>345</v>
      </c>
      <c r="C1049" s="70">
        <v>2</v>
      </c>
      <c r="D1049" s="70">
        <f>G1044</f>
        <v>0.45</v>
      </c>
      <c r="E1049" s="70">
        <v>0.15</v>
      </c>
      <c r="F1049" s="107">
        <f>C1049*D1049*E1049</f>
        <v>0.135</v>
      </c>
      <c r="G1049" s="74"/>
      <c r="H1049" s="107"/>
      <c r="I1049" s="96"/>
      <c r="J1049" s="91"/>
      <c r="K1049" s="91"/>
    </row>
    <row r="1050" spans="1:11" ht="15.75">
      <c r="A1050" s="145"/>
      <c r="B1050" s="70"/>
      <c r="C1050" s="70"/>
      <c r="D1050" s="70"/>
      <c r="E1050" s="70"/>
      <c r="F1050" s="107">
        <f>SUM(F1046:F1049)</f>
        <v>2.5424999999999995</v>
      </c>
      <c r="G1050" s="74">
        <v>5</v>
      </c>
      <c r="H1050" s="107">
        <f>F1050*G1050%</f>
        <v>0.127125</v>
      </c>
      <c r="I1050" s="96">
        <f>F1050+H1050</f>
        <v>2.6696249999999995</v>
      </c>
      <c r="J1050" s="44">
        <f>$D$8</f>
        <v>800</v>
      </c>
      <c r="K1050" s="91">
        <f>+J1050*I1050</f>
        <v>2135.6999999999994</v>
      </c>
    </row>
    <row r="1051" spans="1:11" ht="16.5">
      <c r="A1051" s="130"/>
      <c r="B1051" s="140" t="s">
        <v>104</v>
      </c>
      <c r="C1051" s="31"/>
      <c r="D1051" s="24"/>
      <c r="E1051" s="24"/>
      <c r="F1051" s="24"/>
      <c r="G1051" s="24"/>
      <c r="H1051" s="24"/>
      <c r="I1051" s="90"/>
      <c r="J1051" s="15"/>
      <c r="K1051" s="15"/>
    </row>
    <row r="1052" spans="1:11" ht="15.75">
      <c r="A1052" s="130"/>
      <c r="B1052" s="70" t="s">
        <v>193</v>
      </c>
      <c r="C1052" s="70">
        <v>1</v>
      </c>
      <c r="D1052" s="70">
        <f>E1044</f>
        <v>0.75</v>
      </c>
      <c r="E1052" s="70">
        <f>I1044</f>
        <v>0.3</v>
      </c>
      <c r="F1052" s="107">
        <f>C1052*D1052*E1052</f>
        <v>0.22499999999999998</v>
      </c>
      <c r="G1052" s="13"/>
      <c r="H1052" s="24"/>
      <c r="I1052" s="53"/>
      <c r="J1052" s="15"/>
      <c r="K1052" s="15"/>
    </row>
    <row r="1053" spans="1:11" ht="15.75">
      <c r="A1053" s="130"/>
      <c r="B1053" s="70" t="s">
        <v>259</v>
      </c>
      <c r="C1053" s="70">
        <f>2*2</f>
        <v>4</v>
      </c>
      <c r="D1053" s="70">
        <f>G1044</f>
        <v>0.45</v>
      </c>
      <c r="E1053" s="70">
        <f>I1044</f>
        <v>0.3</v>
      </c>
      <c r="F1053" s="107">
        <f>C1053*D1053*E1053</f>
        <v>0.54</v>
      </c>
      <c r="G1053" s="24"/>
      <c r="H1053" s="24"/>
      <c r="I1053" s="90"/>
      <c r="J1053" s="15"/>
      <c r="K1053" s="15"/>
    </row>
    <row r="1054" spans="1:11" ht="15.75">
      <c r="A1054" s="130"/>
      <c r="B1054" s="31" t="s">
        <v>343</v>
      </c>
      <c r="C1054" s="24">
        <v>1</v>
      </c>
      <c r="D1054" s="24">
        <f>E1044</f>
        <v>0.75</v>
      </c>
      <c r="E1054" s="24">
        <f>I1044</f>
        <v>0.3</v>
      </c>
      <c r="F1054" s="107">
        <f>C1054*D1054*E1054</f>
        <v>0.22499999999999998</v>
      </c>
      <c r="G1054" s="31"/>
      <c r="H1054" s="31"/>
      <c r="I1054" s="14"/>
      <c r="J1054" s="15"/>
      <c r="K1054" s="13"/>
    </row>
    <row r="1055" spans="1:11" ht="15.75">
      <c r="A1055" s="145"/>
      <c r="B1055" s="70" t="s">
        <v>345</v>
      </c>
      <c r="C1055" s="70">
        <v>4</v>
      </c>
      <c r="D1055" s="70">
        <f>G1050</f>
        <v>5</v>
      </c>
      <c r="E1055" s="70">
        <v>0.15</v>
      </c>
      <c r="F1055" s="107">
        <f>C1055*D1055*E1055</f>
        <v>3</v>
      </c>
      <c r="G1055" s="74"/>
      <c r="H1055" s="107"/>
      <c r="I1055" s="96"/>
      <c r="J1055" s="91"/>
      <c r="K1055" s="91"/>
    </row>
    <row r="1056" spans="1:11" ht="15.75">
      <c r="A1056" s="130"/>
      <c r="B1056" s="31"/>
      <c r="C1056" s="24"/>
      <c r="D1056" s="31"/>
      <c r="E1056" s="31"/>
      <c r="F1056" s="28">
        <f>SUM(F1052:F1055)</f>
        <v>3.99</v>
      </c>
      <c r="G1056" s="13">
        <v>10</v>
      </c>
      <c r="H1056" s="24">
        <f>F1056*G1056%</f>
        <v>0.399</v>
      </c>
      <c r="I1056" s="53">
        <f>F1056+H1056</f>
        <v>4.389</v>
      </c>
      <c r="J1056" s="91">
        <f>$D$15</f>
        <v>550</v>
      </c>
      <c r="K1056" s="15">
        <f>+J1056*I1056</f>
        <v>2413.9500000000003</v>
      </c>
    </row>
    <row r="1057" spans="1:11" ht="16.5">
      <c r="A1057" s="129"/>
      <c r="B1057" s="40" t="s">
        <v>205</v>
      </c>
      <c r="C1057" s="24"/>
      <c r="D1057" s="24"/>
      <c r="E1057" s="24"/>
      <c r="F1057" s="24"/>
      <c r="G1057" s="24"/>
      <c r="H1057" s="24"/>
      <c r="I1057" s="45"/>
      <c r="J1057" s="46"/>
      <c r="K1057" s="22"/>
    </row>
    <row r="1058" spans="1:11" ht="16.5">
      <c r="A1058" s="129"/>
      <c r="B1058" s="31" t="s">
        <v>344</v>
      </c>
      <c r="C1058" s="24">
        <v>2</v>
      </c>
      <c r="D1058" s="24">
        <f>I1044</f>
        <v>0.3</v>
      </c>
      <c r="E1058" s="24"/>
      <c r="F1058" s="24">
        <f>D1058*C1058</f>
        <v>0.6</v>
      </c>
      <c r="G1058" s="24"/>
      <c r="H1058" s="24"/>
      <c r="I1058" s="45"/>
      <c r="J1058" s="46"/>
      <c r="K1058" s="22"/>
    </row>
    <row r="1059" spans="1:11" ht="16.5">
      <c r="A1059" s="129"/>
      <c r="B1059" s="31"/>
      <c r="C1059" s="24">
        <v>2</v>
      </c>
      <c r="D1059" s="24">
        <f>G1044</f>
        <v>0.45</v>
      </c>
      <c r="E1059" s="24"/>
      <c r="F1059" s="24">
        <f>D1059*C1059</f>
        <v>0.9</v>
      </c>
      <c r="G1059" s="24"/>
      <c r="H1059" s="24"/>
      <c r="I1059" s="45"/>
      <c r="J1059" s="46"/>
      <c r="K1059" s="22"/>
    </row>
    <row r="1060" spans="1:11" ht="16.5">
      <c r="A1060" s="129"/>
      <c r="B1060" s="31"/>
      <c r="C1060" s="24">
        <v>1</v>
      </c>
      <c r="D1060" s="24">
        <f>E1044</f>
        <v>0.75</v>
      </c>
      <c r="E1060" s="24"/>
      <c r="F1060" s="24">
        <f>D1060*C1060</f>
        <v>0.75</v>
      </c>
      <c r="G1060" s="24"/>
      <c r="H1060" s="24"/>
      <c r="I1060" s="45"/>
      <c r="J1060" s="46"/>
      <c r="K1060" s="22"/>
    </row>
    <row r="1061" spans="1:11" ht="16.5">
      <c r="A1061" s="129"/>
      <c r="B1061" s="31"/>
      <c r="C1061" s="24">
        <v>2</v>
      </c>
      <c r="D1061" s="24">
        <v>0.45</v>
      </c>
      <c r="E1061" s="24"/>
      <c r="F1061" s="24">
        <f>D1061*C1061</f>
        <v>0.9</v>
      </c>
      <c r="G1061" s="24"/>
      <c r="H1061" s="24"/>
      <c r="I1061" s="45"/>
      <c r="J1061" s="46"/>
      <c r="K1061" s="22"/>
    </row>
    <row r="1062" spans="1:11" ht="16.5">
      <c r="A1062" s="129"/>
      <c r="B1062" s="31"/>
      <c r="C1062" s="24">
        <v>2</v>
      </c>
      <c r="D1062" s="24">
        <v>0.15</v>
      </c>
      <c r="E1062" s="24"/>
      <c r="F1062" s="24">
        <f>D1062*C1062</f>
        <v>0.3</v>
      </c>
      <c r="G1062" s="24"/>
      <c r="H1062" s="24"/>
      <c r="I1062" s="45"/>
      <c r="J1062" s="46"/>
      <c r="K1062" s="22"/>
    </row>
    <row r="1063" spans="1:11" ht="16.5">
      <c r="A1063" s="129"/>
      <c r="B1063" s="31"/>
      <c r="C1063" s="24"/>
      <c r="D1063" s="24"/>
      <c r="E1063" s="24"/>
      <c r="F1063" s="24">
        <f>SUM(F1058:F1062)</f>
        <v>3.4499999999999997</v>
      </c>
      <c r="G1063" s="24"/>
      <c r="H1063" s="42">
        <f>F1063*G1063%</f>
        <v>0</v>
      </c>
      <c r="I1063" s="49">
        <f>F1063+H1063</f>
        <v>3.4499999999999997</v>
      </c>
      <c r="J1063" s="44">
        <f>$I$117</f>
        <v>12</v>
      </c>
      <c r="K1063" s="44">
        <f>+J1063*I1063</f>
        <v>41.4</v>
      </c>
    </row>
    <row r="1064" spans="1:11" ht="15.75">
      <c r="A1064" s="33"/>
      <c r="B1064" s="24" t="s">
        <v>271</v>
      </c>
      <c r="C1064" s="24">
        <v>1</v>
      </c>
      <c r="D1064" s="24">
        <f>F1056</f>
        <v>3.99</v>
      </c>
      <c r="E1064" s="24">
        <v>3</v>
      </c>
      <c r="F1064" s="24">
        <f>C1064*D1064/E1064</f>
        <v>1.33</v>
      </c>
      <c r="G1064" s="24"/>
      <c r="H1064" s="24"/>
      <c r="I1064" s="90">
        <f>F1064</f>
        <v>1.33</v>
      </c>
      <c r="J1064" s="91">
        <f>$D$27</f>
        <v>225</v>
      </c>
      <c r="K1064" s="15">
        <f>+J1064*I1064</f>
        <v>299.25</v>
      </c>
    </row>
    <row r="1065" spans="1:11" ht="19.5" customHeight="1">
      <c r="A1065" s="129"/>
      <c r="B1065" s="139" t="s">
        <v>212</v>
      </c>
      <c r="C1065" s="24">
        <v>1</v>
      </c>
      <c r="D1065" s="24">
        <f>E1044</f>
        <v>0.75</v>
      </c>
      <c r="E1065" s="24">
        <f>G1044</f>
        <v>0.45</v>
      </c>
      <c r="F1065" s="24">
        <f>E1065*D1065*C1065</f>
        <v>0.3375</v>
      </c>
      <c r="G1065" s="24"/>
      <c r="H1065" s="42">
        <f>F1065*G1065%</f>
        <v>0</v>
      </c>
      <c r="I1065" s="49">
        <f>F1065+H1065</f>
        <v>0.3375</v>
      </c>
      <c r="J1065" s="44">
        <f>$D$26</f>
        <v>1680</v>
      </c>
      <c r="K1065" s="44">
        <f>+J1065*I1065</f>
        <v>567</v>
      </c>
    </row>
    <row r="1066" spans="1:11" ht="15.75">
      <c r="A1066" s="6"/>
      <c r="B1066" s="70" t="s">
        <v>312</v>
      </c>
      <c r="C1066" s="70">
        <v>1</v>
      </c>
      <c r="D1066" s="70">
        <v>1</v>
      </c>
      <c r="E1066" s="70"/>
      <c r="F1066" s="70">
        <f>C1066*D1066</f>
        <v>1</v>
      </c>
      <c r="G1066" s="70"/>
      <c r="H1066" s="70"/>
      <c r="I1066" s="77">
        <f>F1066</f>
        <v>1</v>
      </c>
      <c r="J1066" s="91">
        <v>300</v>
      </c>
      <c r="K1066" s="91">
        <f>+J1066*I1066</f>
        <v>300</v>
      </c>
    </row>
    <row r="1067" spans="1:11" ht="15.75">
      <c r="A1067" s="6"/>
      <c r="B1067" s="70" t="s">
        <v>313</v>
      </c>
      <c r="C1067" s="70"/>
      <c r="D1067" s="70"/>
      <c r="E1067" s="70"/>
      <c r="F1067" s="70"/>
      <c r="G1067" s="70"/>
      <c r="H1067" s="70"/>
      <c r="I1067" s="83"/>
      <c r="J1067" s="91">
        <v>2500</v>
      </c>
      <c r="K1067" s="91">
        <v>1000</v>
      </c>
    </row>
    <row r="1068" spans="1:11" ht="16.5">
      <c r="A1068" s="33"/>
      <c r="B1068" s="25" t="s">
        <v>14</v>
      </c>
      <c r="C1068" s="24"/>
      <c r="D1068" s="24"/>
      <c r="E1068" s="24"/>
      <c r="F1068" s="24"/>
      <c r="G1068" s="24"/>
      <c r="H1068" s="24"/>
      <c r="I1068" s="53"/>
      <c r="J1068" s="15"/>
      <c r="K1068" s="38">
        <f>SUM(K1050:K1067)</f>
        <v>6757.299999999999</v>
      </c>
    </row>
    <row r="1069" spans="1:11" ht="15.75">
      <c r="A1069" s="33"/>
      <c r="B1069" s="16" t="str">
        <f>$B$7</f>
        <v>Add Towards Overhead and Profit</v>
      </c>
      <c r="C1069" s="16"/>
      <c r="D1069" s="33"/>
      <c r="E1069" s="33"/>
      <c r="F1069" s="18">
        <f>$F$7</f>
        <v>15</v>
      </c>
      <c r="G1069" s="24"/>
      <c r="H1069" s="24"/>
      <c r="I1069" s="53"/>
      <c r="J1069" s="15"/>
      <c r="K1069" s="46">
        <f>+K1068*F1069%</f>
        <v>1013.5949999999998</v>
      </c>
    </row>
    <row r="1070" spans="1:11" ht="15.75">
      <c r="A1070" s="33"/>
      <c r="B1070" s="16" t="s">
        <v>223</v>
      </c>
      <c r="C1070" s="13"/>
      <c r="D1070" s="33"/>
      <c r="E1070" s="33"/>
      <c r="F1070" s="18"/>
      <c r="G1070" s="24"/>
      <c r="H1070" s="24"/>
      <c r="I1070" s="53"/>
      <c r="J1070" s="15"/>
      <c r="K1070" s="46">
        <f>SUM(K1068:K1069)</f>
        <v>7770.894999999999</v>
      </c>
    </row>
    <row r="1071" spans="1:11" ht="17.25">
      <c r="A1071" s="6"/>
      <c r="B1071" s="25" t="s">
        <v>314</v>
      </c>
      <c r="C1071" s="13"/>
      <c r="D1071" s="25"/>
      <c r="E1071" s="25"/>
      <c r="F1071" s="25"/>
      <c r="G1071" s="25"/>
      <c r="H1071" s="25"/>
      <c r="I1071" s="111" t="s">
        <v>224</v>
      </c>
      <c r="J1071" s="112"/>
      <c r="K1071" s="55">
        <v>8000</v>
      </c>
    </row>
    <row r="1072" spans="1:11" ht="15.75">
      <c r="A1072" s="6"/>
      <c r="B1072" s="13"/>
      <c r="C1072" s="13"/>
      <c r="D1072" s="13"/>
      <c r="E1072" s="13"/>
      <c r="F1072" s="13"/>
      <c r="G1072" s="13"/>
      <c r="H1072" s="13"/>
      <c r="I1072" s="14"/>
      <c r="J1072" s="15"/>
      <c r="K1072" s="13"/>
    </row>
    <row r="1073" spans="1:11" s="217" customFormat="1" ht="16.5">
      <c r="A1073" s="211">
        <v>1</v>
      </c>
      <c r="B1073" s="212" t="s">
        <v>338</v>
      </c>
      <c r="C1073" s="213"/>
      <c r="D1073" s="213"/>
      <c r="E1073" s="214">
        <v>8.4</v>
      </c>
      <c r="F1073" s="214" t="s">
        <v>225</v>
      </c>
      <c r="G1073" s="214">
        <v>1.5</v>
      </c>
      <c r="H1073" s="214" t="s">
        <v>225</v>
      </c>
      <c r="I1073" s="214">
        <f>G1073*E1073</f>
        <v>12.600000000000001</v>
      </c>
      <c r="J1073" s="215"/>
      <c r="K1073" s="216"/>
    </row>
    <row r="1074" spans="1:11" s="217" customFormat="1" ht="16.5">
      <c r="A1074" s="211"/>
      <c r="B1074" s="216" t="s">
        <v>279</v>
      </c>
      <c r="C1074" s="213"/>
      <c r="D1074" s="213"/>
      <c r="E1074" s="213"/>
      <c r="F1074" s="213"/>
      <c r="G1074" s="213"/>
      <c r="H1074" s="213"/>
      <c r="I1074" s="218"/>
      <c r="J1074" s="219"/>
      <c r="K1074" s="213"/>
    </row>
    <row r="1075" spans="1:11" s="217" customFormat="1" ht="15.75">
      <c r="A1075" s="211"/>
      <c r="B1075" s="220" t="s">
        <v>181</v>
      </c>
      <c r="C1075" s="220">
        <v>1</v>
      </c>
      <c r="D1075" s="220">
        <f>E1073</f>
        <v>8.4</v>
      </c>
      <c r="E1075" s="220">
        <f>G1073</f>
        <v>1.5</v>
      </c>
      <c r="F1075" s="221">
        <f>C1075*D1075*E1075</f>
        <v>12.600000000000001</v>
      </c>
      <c r="G1075" s="222"/>
      <c r="H1075" s="221">
        <v>5</v>
      </c>
      <c r="I1075" s="223">
        <f>F1075+H1075</f>
        <v>17.6</v>
      </c>
      <c r="J1075" s="224">
        <f>$D$11</f>
        <v>1325</v>
      </c>
      <c r="K1075" s="224">
        <f>+J1075*I1075</f>
        <v>23320.000000000004</v>
      </c>
    </row>
    <row r="1076" spans="1:11" s="217" customFormat="1" ht="16.5">
      <c r="A1076" s="211"/>
      <c r="B1076" s="225" t="s">
        <v>182</v>
      </c>
      <c r="C1076" s="226"/>
      <c r="D1076" s="226"/>
      <c r="E1076" s="226"/>
      <c r="F1076" s="227"/>
      <c r="G1076" s="228"/>
      <c r="H1076" s="229"/>
      <c r="I1076" s="230"/>
      <c r="J1076" s="231"/>
      <c r="K1076" s="231"/>
    </row>
    <row r="1077" spans="1:11" s="217" customFormat="1" ht="15.75">
      <c r="A1077" s="211"/>
      <c r="B1077" s="232" t="s">
        <v>339</v>
      </c>
      <c r="C1077" s="220">
        <v>2</v>
      </c>
      <c r="D1077" s="220">
        <f>E1073</f>
        <v>8.4</v>
      </c>
      <c r="E1077" s="220">
        <v>0.075</v>
      </c>
      <c r="F1077" s="221">
        <f>C1077*D1077*E1077</f>
        <v>1.26</v>
      </c>
      <c r="G1077" s="226"/>
      <c r="H1077" s="226"/>
      <c r="I1077" s="233"/>
      <c r="J1077" s="234"/>
      <c r="K1077" s="235"/>
    </row>
    <row r="1078" spans="1:11" s="217" customFormat="1" ht="15.75">
      <c r="A1078" s="211"/>
      <c r="B1078" s="232"/>
      <c r="C1078" s="220">
        <v>2</v>
      </c>
      <c r="D1078" s="220">
        <f>G1073</f>
        <v>1.5</v>
      </c>
      <c r="E1078" s="220">
        <v>0.075</v>
      </c>
      <c r="F1078" s="221">
        <f>C1078*D1078*E1078</f>
        <v>0.22499999999999998</v>
      </c>
      <c r="G1078" s="226"/>
      <c r="H1078" s="226"/>
      <c r="I1078" s="233"/>
      <c r="J1078" s="234"/>
      <c r="K1078" s="235"/>
    </row>
    <row r="1079" spans="1:11" s="217" customFormat="1" ht="15.75">
      <c r="A1079" s="211"/>
      <c r="B1079" s="232" t="s">
        <v>351</v>
      </c>
      <c r="C1079" s="220">
        <f>5*2</f>
        <v>10</v>
      </c>
      <c r="D1079" s="220">
        <v>1.05</v>
      </c>
      <c r="E1079" s="220">
        <v>0.75</v>
      </c>
      <c r="F1079" s="221">
        <f>C1079*D1079*E1079</f>
        <v>7.875</v>
      </c>
      <c r="G1079" s="226"/>
      <c r="H1079" s="226"/>
      <c r="I1079" s="233"/>
      <c r="J1079" s="234"/>
      <c r="K1079" s="235"/>
    </row>
    <row r="1080" spans="1:11" s="217" customFormat="1" ht="15.75">
      <c r="A1080" s="211"/>
      <c r="B1080" s="232"/>
      <c r="C1080" s="220">
        <f>5*2</f>
        <v>10</v>
      </c>
      <c r="D1080" s="220">
        <v>0.2</v>
      </c>
      <c r="E1080" s="220">
        <v>0.75</v>
      </c>
      <c r="F1080" s="221">
        <f>C1080*D1080*E1080</f>
        <v>1.5</v>
      </c>
      <c r="G1080" s="226"/>
      <c r="H1080" s="226"/>
      <c r="I1080" s="233"/>
      <c r="J1080" s="234"/>
      <c r="K1080" s="235"/>
    </row>
    <row r="1081" spans="1:11" s="217" customFormat="1" ht="15.75">
      <c r="A1081" s="211"/>
      <c r="B1081" s="232"/>
      <c r="C1081" s="226"/>
      <c r="D1081" s="226"/>
      <c r="E1081" s="226"/>
      <c r="F1081" s="227">
        <f>SUM(F1077:F1080)</f>
        <v>10.86</v>
      </c>
      <c r="G1081" s="228">
        <v>5</v>
      </c>
      <c r="H1081" s="229">
        <f>F1081*G1081%</f>
        <v>0.543</v>
      </c>
      <c r="I1081" s="230">
        <f>F1081+H1081</f>
        <v>11.402999999999999</v>
      </c>
      <c r="J1081" s="231">
        <f>$D$8</f>
        <v>800</v>
      </c>
      <c r="K1081" s="231">
        <f>+J1081*I1081</f>
        <v>9122.4</v>
      </c>
    </row>
    <row r="1082" spans="1:11" s="217" customFormat="1" ht="16.5">
      <c r="A1082" s="236"/>
      <c r="B1082" s="237" t="s">
        <v>110</v>
      </c>
      <c r="C1082" s="226"/>
      <c r="D1082" s="226"/>
      <c r="E1082" s="226"/>
      <c r="F1082" s="227"/>
      <c r="G1082" s="226"/>
      <c r="H1082" s="226"/>
      <c r="I1082" s="233"/>
      <c r="J1082" s="234"/>
      <c r="K1082" s="235"/>
    </row>
    <row r="1083" spans="1:11" s="217" customFormat="1" ht="16.5">
      <c r="A1083" s="236"/>
      <c r="B1083" s="232" t="s">
        <v>181</v>
      </c>
      <c r="C1083" s="226">
        <v>1</v>
      </c>
      <c r="D1083" s="226">
        <f>E1073</f>
        <v>8.4</v>
      </c>
      <c r="E1083" s="226">
        <f>G1073</f>
        <v>1.5</v>
      </c>
      <c r="F1083" s="227">
        <f>E1083*D1083*C1083</f>
        <v>12.600000000000001</v>
      </c>
      <c r="G1083" s="226"/>
      <c r="H1083" s="226"/>
      <c r="I1083" s="233"/>
      <c r="J1083" s="234"/>
      <c r="K1083" s="235"/>
    </row>
    <row r="1084" spans="1:11" s="217" customFormat="1" ht="16.5">
      <c r="A1084" s="236"/>
      <c r="B1084" s="232" t="s">
        <v>183</v>
      </c>
      <c r="C1084" s="220">
        <v>2</v>
      </c>
      <c r="D1084" s="220">
        <f>E1073</f>
        <v>8.4</v>
      </c>
      <c r="E1084" s="220">
        <v>0.05</v>
      </c>
      <c r="F1084" s="221">
        <f>C1084*D1084*E1084</f>
        <v>0.8400000000000001</v>
      </c>
      <c r="G1084" s="226"/>
      <c r="H1084" s="226"/>
      <c r="I1084" s="233"/>
      <c r="J1084" s="234"/>
      <c r="K1084" s="235"/>
    </row>
    <row r="1085" spans="1:11" s="217" customFormat="1" ht="16.5">
      <c r="A1085" s="236"/>
      <c r="B1085" s="232"/>
      <c r="C1085" s="220">
        <v>2</v>
      </c>
      <c r="D1085" s="220">
        <f>G1073</f>
        <v>1.5</v>
      </c>
      <c r="E1085" s="220">
        <v>0.05</v>
      </c>
      <c r="F1085" s="221">
        <f>C1085*D1085*E1085</f>
        <v>0.15000000000000002</v>
      </c>
      <c r="G1085" s="226"/>
      <c r="H1085" s="226"/>
      <c r="I1085" s="233"/>
      <c r="J1085" s="234"/>
      <c r="K1085" s="235"/>
    </row>
    <row r="1086" spans="1:11" s="217" customFormat="1" ht="16.5">
      <c r="A1086" s="236"/>
      <c r="B1086" s="232"/>
      <c r="C1086" s="226"/>
      <c r="D1086" s="226"/>
      <c r="E1086" s="226"/>
      <c r="F1086" s="227">
        <f>SUM(F1083:F1085)</f>
        <v>13.590000000000002</v>
      </c>
      <c r="G1086" s="228"/>
      <c r="H1086" s="229">
        <f>F1086*G1086%</f>
        <v>0</v>
      </c>
      <c r="I1086" s="230">
        <f>F1086+H1086</f>
        <v>13.590000000000002</v>
      </c>
      <c r="J1086" s="231">
        <f>$D$20</f>
        <v>6300</v>
      </c>
      <c r="K1086" s="231">
        <f>+J1086*I1086</f>
        <v>85617.00000000001</v>
      </c>
    </row>
    <row r="1087" spans="1:11" s="217" customFormat="1" ht="16.5">
      <c r="A1087" s="236"/>
      <c r="B1087" s="237" t="s">
        <v>104</v>
      </c>
      <c r="C1087" s="226"/>
      <c r="D1087" s="226"/>
      <c r="E1087" s="226"/>
      <c r="F1087" s="226"/>
      <c r="G1087" s="226"/>
      <c r="H1087" s="226"/>
      <c r="I1087" s="233"/>
      <c r="J1087" s="234"/>
      <c r="K1087" s="235"/>
    </row>
    <row r="1088" spans="1:11" s="217" customFormat="1" ht="16.5">
      <c r="A1088" s="236"/>
      <c r="B1088" s="232" t="s">
        <v>351</v>
      </c>
      <c r="C1088" s="220">
        <f>5*2</f>
        <v>10</v>
      </c>
      <c r="D1088" s="226">
        <v>1.05</v>
      </c>
      <c r="E1088" s="226">
        <v>0.75</v>
      </c>
      <c r="F1088" s="227">
        <f>E1088*D1088*C1088</f>
        <v>7.875000000000001</v>
      </c>
      <c r="G1088" s="226"/>
      <c r="H1088" s="226"/>
      <c r="I1088" s="233"/>
      <c r="J1088" s="234"/>
      <c r="K1088" s="235"/>
    </row>
    <row r="1089" spans="1:11" s="217" customFormat="1" ht="16.5">
      <c r="A1089" s="236"/>
      <c r="B1089" s="232"/>
      <c r="C1089" s="220">
        <f>5*2</f>
        <v>10</v>
      </c>
      <c r="D1089" s="226">
        <v>0.45</v>
      </c>
      <c r="E1089" s="226">
        <v>0.75</v>
      </c>
      <c r="F1089" s="227">
        <f>E1089*D1089*C1089</f>
        <v>3.375</v>
      </c>
      <c r="G1089" s="226"/>
      <c r="H1089" s="226"/>
      <c r="I1089" s="233"/>
      <c r="J1089" s="234"/>
      <c r="K1089" s="235"/>
    </row>
    <row r="1090" spans="1:11" s="217" customFormat="1" ht="16.5">
      <c r="A1090" s="236"/>
      <c r="B1090" s="232"/>
      <c r="C1090" s="226"/>
      <c r="D1090" s="226"/>
      <c r="E1090" s="226"/>
      <c r="F1090" s="227">
        <f>SUM(F1088:F1089)</f>
        <v>11.25</v>
      </c>
      <c r="G1090" s="228">
        <v>10</v>
      </c>
      <c r="H1090" s="229">
        <f>F1090*G1090%</f>
        <v>1.125</v>
      </c>
      <c r="I1090" s="230">
        <f>F1090+H1090</f>
        <v>12.375</v>
      </c>
      <c r="J1090" s="231">
        <f>$D$15</f>
        <v>550</v>
      </c>
      <c r="K1090" s="231">
        <f>+J1090*I1090</f>
        <v>6806.25</v>
      </c>
    </row>
    <row r="1091" spans="1:12" s="217" customFormat="1" ht="16.5">
      <c r="A1091" s="238"/>
      <c r="B1091" s="239" t="s">
        <v>117</v>
      </c>
      <c r="C1091" s="228">
        <v>1</v>
      </c>
      <c r="D1091" s="229">
        <f>F1090</f>
        <v>11.25</v>
      </c>
      <c r="E1091" s="228">
        <v>3</v>
      </c>
      <c r="F1091" s="228">
        <f>C1091*D1091/E1091</f>
        <v>3.75</v>
      </c>
      <c r="G1091" s="228"/>
      <c r="H1091" s="228"/>
      <c r="I1091" s="240">
        <f>F1091</f>
        <v>3.75</v>
      </c>
      <c r="J1091" s="219">
        <f>$D$27</f>
        <v>225</v>
      </c>
      <c r="K1091" s="231">
        <f>+J1091*I1091</f>
        <v>843.75</v>
      </c>
      <c r="L1091" s="217">
        <f>8.4-1.2</f>
        <v>7.2</v>
      </c>
    </row>
    <row r="1092" spans="1:12" s="217" customFormat="1" ht="15.75">
      <c r="A1092" s="211"/>
      <c r="B1092" s="220" t="s">
        <v>312</v>
      </c>
      <c r="C1092" s="220"/>
      <c r="D1092" s="220"/>
      <c r="E1092" s="220"/>
      <c r="F1092" s="220"/>
      <c r="G1092" s="220"/>
      <c r="H1092" s="220"/>
      <c r="I1092" s="241"/>
      <c r="J1092" s="224"/>
      <c r="K1092" s="224">
        <v>1000</v>
      </c>
      <c r="L1092" s="217">
        <f>L1091/6</f>
        <v>1.2</v>
      </c>
    </row>
    <row r="1093" spans="1:11" s="217" customFormat="1" ht="15.75">
      <c r="A1093" s="211"/>
      <c r="B1093" s="220" t="s">
        <v>313</v>
      </c>
      <c r="C1093" s="220"/>
      <c r="D1093" s="220"/>
      <c r="E1093" s="220"/>
      <c r="F1093" s="220"/>
      <c r="G1093" s="220"/>
      <c r="H1093" s="220"/>
      <c r="I1093" s="242"/>
      <c r="J1093" s="224">
        <v>10000</v>
      </c>
      <c r="K1093" s="224">
        <f>J1093</f>
        <v>10000</v>
      </c>
    </row>
    <row r="1094" spans="1:11" s="217" customFormat="1" ht="16.5">
      <c r="A1094" s="243"/>
      <c r="B1094" s="214" t="s">
        <v>14</v>
      </c>
      <c r="C1094" s="226"/>
      <c r="D1094" s="226"/>
      <c r="E1094" s="226"/>
      <c r="F1094" s="226"/>
      <c r="G1094" s="226"/>
      <c r="H1094" s="226"/>
      <c r="I1094" s="244"/>
      <c r="J1094" s="219"/>
      <c r="K1094" s="245">
        <f>SUM(K1075:K1093)</f>
        <v>136709.40000000002</v>
      </c>
    </row>
    <row r="1095" spans="1:11" s="217" customFormat="1" ht="15.75">
      <c r="A1095" s="243"/>
      <c r="B1095" s="246" t="str">
        <f>$B$7</f>
        <v>Add Towards Overhead and Profit</v>
      </c>
      <c r="C1095" s="246"/>
      <c r="D1095" s="243"/>
      <c r="E1095" s="243"/>
      <c r="F1095" s="247">
        <f>$F$7</f>
        <v>15</v>
      </c>
      <c r="G1095" s="226"/>
      <c r="H1095" s="226"/>
      <c r="I1095" s="244"/>
      <c r="J1095" s="219"/>
      <c r="K1095" s="234">
        <f>+K1094*F1095%</f>
        <v>20506.410000000003</v>
      </c>
    </row>
    <row r="1096" spans="1:12" s="217" customFormat="1" ht="15.75">
      <c r="A1096" s="243"/>
      <c r="B1096" s="246" t="s">
        <v>223</v>
      </c>
      <c r="C1096" s="213"/>
      <c r="D1096" s="243"/>
      <c r="E1096" s="243"/>
      <c r="F1096" s="247"/>
      <c r="G1096" s="226"/>
      <c r="H1096" s="226"/>
      <c r="I1096" s="244"/>
      <c r="J1096" s="219"/>
      <c r="K1096" s="234">
        <f>SUM(K1094:K1095)</f>
        <v>157215.81000000003</v>
      </c>
      <c r="L1096" s="217">
        <f>8.4-0.6</f>
        <v>7.800000000000001</v>
      </c>
    </row>
    <row r="1097" spans="1:12" s="217" customFormat="1" ht="17.25">
      <c r="A1097" s="211"/>
      <c r="B1097" s="214" t="s">
        <v>314</v>
      </c>
      <c r="C1097" s="213"/>
      <c r="D1097" s="214"/>
      <c r="E1097" s="214"/>
      <c r="F1097" s="214"/>
      <c r="G1097" s="214"/>
      <c r="H1097" s="214"/>
      <c r="I1097" s="248" t="s">
        <v>224</v>
      </c>
      <c r="J1097" s="249"/>
      <c r="K1097" s="250">
        <v>160000</v>
      </c>
      <c r="L1097" s="217">
        <f>L1096-2</f>
        <v>5.800000000000001</v>
      </c>
    </row>
    <row r="1098" spans="1:12" s="217" customFormat="1" ht="17.25">
      <c r="A1098" s="211"/>
      <c r="B1098" s="214"/>
      <c r="C1098" s="213"/>
      <c r="D1098" s="214"/>
      <c r="E1098" s="214"/>
      <c r="F1098" s="214"/>
      <c r="G1098" s="214"/>
      <c r="H1098" s="214"/>
      <c r="I1098" s="248"/>
      <c r="J1098" s="249"/>
      <c r="K1098" s="250"/>
      <c r="L1098" s="217">
        <f>L1097/4</f>
        <v>1.4500000000000002</v>
      </c>
    </row>
    <row r="1099" spans="1:11" s="151" customFormat="1" ht="16.5">
      <c r="A1099" s="178">
        <v>1</v>
      </c>
      <c r="B1099" s="190" t="s">
        <v>338</v>
      </c>
      <c r="C1099" s="186"/>
      <c r="D1099" s="186"/>
      <c r="E1099" s="152">
        <v>1.5</v>
      </c>
      <c r="F1099" s="152" t="s">
        <v>225</v>
      </c>
      <c r="G1099" s="152">
        <v>6.075</v>
      </c>
      <c r="H1099" s="152" t="s">
        <v>225</v>
      </c>
      <c r="I1099" s="152">
        <f>G1099*E1099</f>
        <v>9.1125</v>
      </c>
      <c r="J1099" s="153"/>
      <c r="K1099" s="154"/>
    </row>
    <row r="1100" spans="1:11" s="151" customFormat="1" ht="16.5">
      <c r="A1100" s="178"/>
      <c r="B1100" s="154" t="s">
        <v>279</v>
      </c>
      <c r="C1100" s="186"/>
      <c r="D1100" s="186"/>
      <c r="E1100" s="186"/>
      <c r="F1100" s="186"/>
      <c r="G1100" s="186"/>
      <c r="H1100" s="186"/>
      <c r="I1100" s="191"/>
      <c r="J1100" s="177"/>
      <c r="K1100" s="186"/>
    </row>
    <row r="1101" spans="1:11" s="151" customFormat="1" ht="15.75">
      <c r="A1101" s="178"/>
      <c r="B1101" s="155" t="s">
        <v>181</v>
      </c>
      <c r="C1101" s="155">
        <v>1</v>
      </c>
      <c r="D1101" s="155">
        <f>E1099</f>
        <v>1.5</v>
      </c>
      <c r="E1101" s="155">
        <f>G1099</f>
        <v>6.075</v>
      </c>
      <c r="F1101" s="156">
        <f>C1101*D1101*E1101</f>
        <v>9.1125</v>
      </c>
      <c r="G1101" s="157"/>
      <c r="H1101" s="156">
        <v>5</v>
      </c>
      <c r="I1101" s="158">
        <f>F1101+H1101</f>
        <v>14.1125</v>
      </c>
      <c r="J1101" s="159">
        <f>$D$11</f>
        <v>1325</v>
      </c>
      <c r="K1101" s="159">
        <f>+J1101*I1101</f>
        <v>18699.0625</v>
      </c>
    </row>
    <row r="1102" spans="1:11" s="151" customFormat="1" ht="16.5">
      <c r="A1102" s="178"/>
      <c r="B1102" s="160" t="s">
        <v>182</v>
      </c>
      <c r="C1102" s="161"/>
      <c r="D1102" s="161"/>
      <c r="E1102" s="161"/>
      <c r="F1102" s="162"/>
      <c r="G1102" s="163"/>
      <c r="H1102" s="164"/>
      <c r="I1102" s="165"/>
      <c r="J1102" s="166"/>
      <c r="K1102" s="166"/>
    </row>
    <row r="1103" spans="1:11" s="151" customFormat="1" ht="15.75">
      <c r="A1103" s="178"/>
      <c r="B1103" s="167" t="s">
        <v>311</v>
      </c>
      <c r="C1103" s="155">
        <f>4*4</f>
        <v>16</v>
      </c>
      <c r="D1103" s="155">
        <v>0.45</v>
      </c>
      <c r="E1103" s="155">
        <v>0.75</v>
      </c>
      <c r="F1103" s="156">
        <f>C1103*D1103*E1103</f>
        <v>5.4</v>
      </c>
      <c r="G1103" s="161"/>
      <c r="H1103" s="161"/>
      <c r="I1103" s="168"/>
      <c r="J1103" s="169"/>
      <c r="K1103" s="170"/>
    </row>
    <row r="1104" spans="1:11" s="151" customFormat="1" ht="15.75">
      <c r="A1104" s="178"/>
      <c r="B1104" s="167"/>
      <c r="C1104" s="155">
        <f>4*2</f>
        <v>8</v>
      </c>
      <c r="D1104" s="155">
        <v>1.05</v>
      </c>
      <c r="E1104" s="155">
        <v>0.75</v>
      </c>
      <c r="F1104" s="156">
        <f>C1104*D1104*E1104</f>
        <v>6.300000000000001</v>
      </c>
      <c r="G1104" s="161"/>
      <c r="H1104" s="161"/>
      <c r="I1104" s="168"/>
      <c r="J1104" s="169"/>
      <c r="K1104" s="170"/>
    </row>
    <row r="1105" spans="1:11" s="151" customFormat="1" ht="15.75">
      <c r="A1105" s="178"/>
      <c r="B1105" s="167" t="s">
        <v>339</v>
      </c>
      <c r="C1105" s="155">
        <v>2</v>
      </c>
      <c r="D1105" s="155">
        <f>E1099</f>
        <v>1.5</v>
      </c>
      <c r="E1105" s="155">
        <v>0.075</v>
      </c>
      <c r="F1105" s="156">
        <f>C1105*D1105*E1105</f>
        <v>0.22499999999999998</v>
      </c>
      <c r="G1105" s="161"/>
      <c r="H1105" s="161"/>
      <c r="I1105" s="168"/>
      <c r="J1105" s="169"/>
      <c r="K1105" s="170"/>
    </row>
    <row r="1106" spans="1:11" s="151" customFormat="1" ht="15.75">
      <c r="A1106" s="178"/>
      <c r="B1106" s="167"/>
      <c r="C1106" s="155">
        <v>2</v>
      </c>
      <c r="D1106" s="155">
        <f>G1099</f>
        <v>6.075</v>
      </c>
      <c r="E1106" s="155">
        <v>0.075</v>
      </c>
      <c r="F1106" s="156">
        <f>C1106*D1106*E1106</f>
        <v>0.91125</v>
      </c>
      <c r="G1106" s="161"/>
      <c r="H1106" s="161"/>
      <c r="I1106" s="168"/>
      <c r="J1106" s="169"/>
      <c r="K1106" s="170"/>
    </row>
    <row r="1107" spans="1:11" s="151" customFormat="1" ht="15.75">
      <c r="A1107" s="178"/>
      <c r="B1107" s="167"/>
      <c r="C1107" s="161"/>
      <c r="D1107" s="161"/>
      <c r="E1107" s="161"/>
      <c r="F1107" s="162">
        <f>SUM(F1103:F1106)</f>
        <v>12.836250000000001</v>
      </c>
      <c r="G1107" s="163">
        <v>5</v>
      </c>
      <c r="H1107" s="164">
        <f>F1107*G1107%</f>
        <v>0.6418125000000001</v>
      </c>
      <c r="I1107" s="165">
        <f>F1107+H1107</f>
        <v>13.478062500000002</v>
      </c>
      <c r="J1107" s="166">
        <f>$D$8</f>
        <v>800</v>
      </c>
      <c r="K1107" s="166">
        <f>+J1107*I1107</f>
        <v>10782.45</v>
      </c>
    </row>
    <row r="1108" spans="1:11" s="151" customFormat="1" ht="16.5">
      <c r="A1108" s="171"/>
      <c r="B1108" s="172" t="s">
        <v>110</v>
      </c>
      <c r="C1108" s="161"/>
      <c r="D1108" s="161"/>
      <c r="E1108" s="161"/>
      <c r="F1108" s="162"/>
      <c r="G1108" s="161"/>
      <c r="H1108" s="161"/>
      <c r="I1108" s="168"/>
      <c r="J1108" s="169"/>
      <c r="K1108" s="170"/>
    </row>
    <row r="1109" spans="1:11" s="151" customFormat="1" ht="16.5">
      <c r="A1109" s="171"/>
      <c r="B1109" s="167" t="s">
        <v>181</v>
      </c>
      <c r="C1109" s="161">
        <v>1</v>
      </c>
      <c r="D1109" s="161">
        <f>E1099</f>
        <v>1.5</v>
      </c>
      <c r="E1109" s="161">
        <f>G1099</f>
        <v>6.075</v>
      </c>
      <c r="F1109" s="162">
        <f>E1109*D1109*C1109</f>
        <v>9.1125</v>
      </c>
      <c r="G1109" s="161"/>
      <c r="H1109" s="161"/>
      <c r="I1109" s="168"/>
      <c r="J1109" s="169"/>
      <c r="K1109" s="170"/>
    </row>
    <row r="1110" spans="1:11" s="151" customFormat="1" ht="16.5">
      <c r="A1110" s="171"/>
      <c r="B1110" s="167" t="s">
        <v>183</v>
      </c>
      <c r="C1110" s="155">
        <v>2</v>
      </c>
      <c r="D1110" s="155">
        <f>E1099</f>
        <v>1.5</v>
      </c>
      <c r="E1110" s="155">
        <v>0.075</v>
      </c>
      <c r="F1110" s="156">
        <f>C1110*D1110*E1110</f>
        <v>0.22499999999999998</v>
      </c>
      <c r="G1110" s="161"/>
      <c r="H1110" s="161"/>
      <c r="I1110" s="168"/>
      <c r="J1110" s="169"/>
      <c r="K1110" s="170"/>
    </row>
    <row r="1111" spans="1:11" s="151" customFormat="1" ht="16.5">
      <c r="A1111" s="171"/>
      <c r="B1111" s="167"/>
      <c r="C1111" s="155">
        <v>2</v>
      </c>
      <c r="D1111" s="155">
        <f>G1099</f>
        <v>6.075</v>
      </c>
      <c r="E1111" s="155">
        <v>0.075</v>
      </c>
      <c r="F1111" s="156">
        <f>C1111*D1111*E1111</f>
        <v>0.91125</v>
      </c>
      <c r="G1111" s="161"/>
      <c r="H1111" s="161"/>
      <c r="I1111" s="168"/>
      <c r="J1111" s="169"/>
      <c r="K1111" s="170"/>
    </row>
    <row r="1112" spans="1:11" s="151" customFormat="1" ht="16.5">
      <c r="A1112" s="171"/>
      <c r="B1112" s="167"/>
      <c r="C1112" s="161"/>
      <c r="D1112" s="161"/>
      <c r="E1112" s="161"/>
      <c r="F1112" s="162">
        <f>SUM(F1109:F1111)</f>
        <v>10.248750000000001</v>
      </c>
      <c r="G1112" s="163"/>
      <c r="H1112" s="164">
        <f>F1112*G1112%</f>
        <v>0</v>
      </c>
      <c r="I1112" s="165">
        <f>F1112+H1112</f>
        <v>10.248750000000001</v>
      </c>
      <c r="J1112" s="166">
        <f>$D$20</f>
        <v>6300</v>
      </c>
      <c r="K1112" s="166">
        <f>+J1112*I1112</f>
        <v>64567.12500000001</v>
      </c>
    </row>
    <row r="1113" spans="1:11" s="151" customFormat="1" ht="16.5">
      <c r="A1113" s="171"/>
      <c r="B1113" s="172" t="s">
        <v>104</v>
      </c>
      <c r="C1113" s="161"/>
      <c r="D1113" s="161"/>
      <c r="E1113" s="161"/>
      <c r="F1113" s="161"/>
      <c r="G1113" s="161"/>
      <c r="H1113" s="161"/>
      <c r="I1113" s="168"/>
      <c r="J1113" s="169"/>
      <c r="K1113" s="170"/>
    </row>
    <row r="1114" spans="1:11" s="151" customFormat="1" ht="16.5">
      <c r="A1114" s="171"/>
      <c r="B1114" s="173" t="s">
        <v>198</v>
      </c>
      <c r="C1114" s="161">
        <v>2</v>
      </c>
      <c r="D1114" s="161">
        <v>1.05</v>
      </c>
      <c r="E1114" s="161">
        <v>0.75</v>
      </c>
      <c r="F1114" s="162">
        <f>E1114*D1114*C1114</f>
        <v>1.5750000000000002</v>
      </c>
      <c r="G1114" s="161"/>
      <c r="H1114" s="161"/>
      <c r="I1114" s="168"/>
      <c r="J1114" s="169"/>
      <c r="K1114" s="170"/>
    </row>
    <row r="1115" spans="1:11" s="151" customFormat="1" ht="16.5">
      <c r="A1115" s="171"/>
      <c r="B1115" s="167"/>
      <c r="C1115" s="161">
        <v>2</v>
      </c>
      <c r="D1115" s="161">
        <v>0.45</v>
      </c>
      <c r="E1115" s="161">
        <v>0.75</v>
      </c>
      <c r="F1115" s="162">
        <f>E1115*D1115*C1115</f>
        <v>0.675</v>
      </c>
      <c r="G1115" s="161"/>
      <c r="H1115" s="161"/>
      <c r="I1115" s="168"/>
      <c r="J1115" s="169"/>
      <c r="K1115" s="170"/>
    </row>
    <row r="1116" spans="1:11" s="151" customFormat="1" ht="16.5">
      <c r="A1116" s="171"/>
      <c r="B1116" s="167"/>
      <c r="C1116" s="161"/>
      <c r="D1116" s="161"/>
      <c r="E1116" s="161"/>
      <c r="F1116" s="162">
        <f>SUM(F1114:F1115)</f>
        <v>2.25</v>
      </c>
      <c r="G1116" s="163">
        <v>5</v>
      </c>
      <c r="H1116" s="164">
        <f>F1116*G1116%</f>
        <v>0.1125</v>
      </c>
      <c r="I1116" s="165">
        <f>F1116+H1116</f>
        <v>2.3625</v>
      </c>
      <c r="J1116" s="166">
        <f>$D$15</f>
        <v>550</v>
      </c>
      <c r="K1116" s="166">
        <f>+J1116*I1116</f>
        <v>1299.375</v>
      </c>
    </row>
    <row r="1117" spans="1:11" s="151" customFormat="1" ht="16.5">
      <c r="A1117" s="174"/>
      <c r="B1117" s="175" t="s">
        <v>117</v>
      </c>
      <c r="C1117" s="163">
        <v>1</v>
      </c>
      <c r="D1117" s="164">
        <f>F1116</f>
        <v>2.25</v>
      </c>
      <c r="E1117" s="163">
        <v>3</v>
      </c>
      <c r="F1117" s="163">
        <f>C1117*D1117/E1117</f>
        <v>0.75</v>
      </c>
      <c r="G1117" s="163"/>
      <c r="H1117" s="163"/>
      <c r="I1117" s="176">
        <f>F1117</f>
        <v>0.75</v>
      </c>
      <c r="J1117" s="177">
        <f>$D$27</f>
        <v>225</v>
      </c>
      <c r="K1117" s="166">
        <f>+J1117*I1117</f>
        <v>168.75</v>
      </c>
    </row>
    <row r="1118" spans="1:11" s="151" customFormat="1" ht="15.75">
      <c r="A1118" s="178"/>
      <c r="B1118" s="155" t="s">
        <v>312</v>
      </c>
      <c r="C1118" s="155"/>
      <c r="D1118" s="155"/>
      <c r="E1118" s="155"/>
      <c r="F1118" s="155"/>
      <c r="G1118" s="155"/>
      <c r="H1118" s="155"/>
      <c r="I1118" s="179"/>
      <c r="J1118" s="159"/>
      <c r="K1118" s="159">
        <v>500</v>
      </c>
    </row>
    <row r="1119" spans="1:11" s="151" customFormat="1" ht="15.75">
      <c r="A1119" s="178"/>
      <c r="B1119" s="155" t="s">
        <v>313</v>
      </c>
      <c r="C1119" s="155"/>
      <c r="D1119" s="155"/>
      <c r="E1119" s="155"/>
      <c r="F1119" s="155"/>
      <c r="G1119" s="155"/>
      <c r="H1119" s="155"/>
      <c r="I1119" s="180"/>
      <c r="J1119" s="159">
        <v>7500</v>
      </c>
      <c r="K1119" s="159">
        <f>J1119</f>
        <v>7500</v>
      </c>
    </row>
    <row r="1120" spans="1:11" s="151" customFormat="1" ht="16.5">
      <c r="A1120" s="181"/>
      <c r="B1120" s="152" t="s">
        <v>14</v>
      </c>
      <c r="C1120" s="161"/>
      <c r="D1120" s="161"/>
      <c r="E1120" s="161"/>
      <c r="F1120" s="161"/>
      <c r="G1120" s="161"/>
      <c r="H1120" s="161"/>
      <c r="I1120" s="182"/>
      <c r="J1120" s="177"/>
      <c r="K1120" s="183">
        <f>SUM(K1101:K1119)</f>
        <v>103516.76250000001</v>
      </c>
    </row>
    <row r="1121" spans="1:11" s="151" customFormat="1" ht="15.75">
      <c r="A1121" s="181"/>
      <c r="B1121" s="184" t="str">
        <f>$B$7</f>
        <v>Add Towards Overhead and Profit</v>
      </c>
      <c r="C1121" s="184"/>
      <c r="D1121" s="181"/>
      <c r="E1121" s="181"/>
      <c r="F1121" s="185">
        <f>$F$7</f>
        <v>15</v>
      </c>
      <c r="G1121" s="161"/>
      <c r="H1121" s="161"/>
      <c r="I1121" s="182"/>
      <c r="J1121" s="177"/>
      <c r="K1121" s="169">
        <f>+K1120*F1121%</f>
        <v>15527.514375</v>
      </c>
    </row>
    <row r="1122" spans="1:11" s="151" customFormat="1" ht="15.75">
      <c r="A1122" s="181"/>
      <c r="B1122" s="184" t="s">
        <v>223</v>
      </c>
      <c r="C1122" s="186"/>
      <c r="D1122" s="181"/>
      <c r="E1122" s="181"/>
      <c r="F1122" s="185"/>
      <c r="G1122" s="161"/>
      <c r="H1122" s="161"/>
      <c r="I1122" s="182"/>
      <c r="J1122" s="177"/>
      <c r="K1122" s="169">
        <f>SUM(K1120:K1121)</f>
        <v>119044.27687500001</v>
      </c>
    </row>
    <row r="1123" spans="1:11" s="151" customFormat="1" ht="17.25">
      <c r="A1123" s="178"/>
      <c r="B1123" s="152" t="s">
        <v>314</v>
      </c>
      <c r="C1123" s="186"/>
      <c r="D1123" s="152"/>
      <c r="E1123" s="152"/>
      <c r="F1123" s="152"/>
      <c r="G1123" s="152"/>
      <c r="H1123" s="152"/>
      <c r="I1123" s="187" t="s">
        <v>224</v>
      </c>
      <c r="J1123" s="188"/>
      <c r="K1123" s="189">
        <v>120000</v>
      </c>
    </row>
    <row r="1124" spans="1:11" s="151" customFormat="1" ht="17.25">
      <c r="A1124" s="178"/>
      <c r="B1124" s="152"/>
      <c r="C1124" s="186"/>
      <c r="D1124" s="152"/>
      <c r="E1124" s="152"/>
      <c r="F1124" s="152"/>
      <c r="G1124" s="152"/>
      <c r="H1124" s="152"/>
      <c r="I1124" s="187"/>
      <c r="J1124" s="188"/>
      <c r="K1124" s="189"/>
    </row>
    <row r="1125" spans="1:11" s="151" customFormat="1" ht="16.5">
      <c r="A1125" s="171">
        <f>A1099+1</f>
        <v>2</v>
      </c>
      <c r="B1125" s="192" t="s">
        <v>340</v>
      </c>
      <c r="C1125" s="175"/>
      <c r="D1125" s="175"/>
      <c r="E1125" s="175">
        <v>2.85</v>
      </c>
      <c r="F1125" s="193" t="s">
        <v>225</v>
      </c>
      <c r="G1125" s="194">
        <v>2.4</v>
      </c>
      <c r="H1125" s="194" t="s">
        <v>225</v>
      </c>
      <c r="I1125" s="195">
        <f>G1125*E1125</f>
        <v>6.84</v>
      </c>
      <c r="J1125" s="166"/>
      <c r="K1125" s="166"/>
    </row>
    <row r="1126" spans="1:11" s="151" customFormat="1" ht="16.5">
      <c r="A1126" s="174"/>
      <c r="B1126" s="343" t="s">
        <v>226</v>
      </c>
      <c r="C1126" s="343"/>
      <c r="D1126" s="343"/>
      <c r="E1126" s="175">
        <v>3</v>
      </c>
      <c r="F1126" s="175" t="s">
        <v>225</v>
      </c>
      <c r="G1126" s="194"/>
      <c r="H1126" s="194"/>
      <c r="I1126" s="196"/>
      <c r="J1126" s="166"/>
      <c r="K1126" s="166"/>
    </row>
    <row r="1127" spans="1:11" s="151" customFormat="1" ht="15.75">
      <c r="A1127" s="174"/>
      <c r="B1127" s="197" t="s">
        <v>227</v>
      </c>
      <c r="C1127" s="198">
        <v>4</v>
      </c>
      <c r="D1127" s="163">
        <v>3</v>
      </c>
      <c r="E1127" s="163"/>
      <c r="F1127" s="164">
        <f>C1127*D1127</f>
        <v>12</v>
      </c>
      <c r="G1127" s="163">
        <v>5</v>
      </c>
      <c r="H1127" s="164">
        <f>F1127*G1127%</f>
        <v>0.6000000000000001</v>
      </c>
      <c r="I1127" s="165">
        <f>F1127+H1127</f>
        <v>12.6</v>
      </c>
      <c r="J1127" s="166">
        <v>85</v>
      </c>
      <c r="K1127" s="166">
        <f>+J1127*I1127</f>
        <v>1071</v>
      </c>
    </row>
    <row r="1128" spans="1:11" s="151" customFormat="1" ht="15.75">
      <c r="A1128" s="174"/>
      <c r="B1128" s="197" t="s">
        <v>228</v>
      </c>
      <c r="C1128" s="198">
        <f>G1125/0.6</f>
        <v>4</v>
      </c>
      <c r="D1128" s="197">
        <f>E1125</f>
        <v>2.85</v>
      </c>
      <c r="E1128" s="197"/>
      <c r="F1128" s="164">
        <f>C1128*D1128</f>
        <v>11.4</v>
      </c>
      <c r="G1128" s="163">
        <v>5</v>
      </c>
      <c r="H1128" s="164">
        <f>F1128*G1128%</f>
        <v>0.5700000000000001</v>
      </c>
      <c r="I1128" s="165">
        <f>F1128+H1128</f>
        <v>11.97</v>
      </c>
      <c r="J1128" s="166">
        <v>85</v>
      </c>
      <c r="K1128" s="166">
        <f>+J1128*I1128</f>
        <v>1017.45</v>
      </c>
    </row>
    <row r="1129" spans="1:11" s="151" customFormat="1" ht="15.75">
      <c r="A1129" s="174"/>
      <c r="B1129" s="173" t="s">
        <v>99</v>
      </c>
      <c r="C1129" s="197">
        <v>1</v>
      </c>
      <c r="D1129" s="197">
        <f>E1125</f>
        <v>2.85</v>
      </c>
      <c r="E1129" s="197">
        <f>G1125</f>
        <v>2.4</v>
      </c>
      <c r="F1129" s="164">
        <f>C1129*D1129*E1129</f>
        <v>6.84</v>
      </c>
      <c r="G1129" s="163"/>
      <c r="H1129" s="164"/>
      <c r="I1129" s="165"/>
      <c r="J1129" s="166"/>
      <c r="K1129" s="166"/>
    </row>
    <row r="1130" spans="1:11" s="151" customFormat="1" ht="15.75">
      <c r="A1130" s="174"/>
      <c r="B1130" s="173"/>
      <c r="C1130" s="197">
        <v>3</v>
      </c>
      <c r="D1130" s="197">
        <v>0.15</v>
      </c>
      <c r="E1130" s="197">
        <v>2.4</v>
      </c>
      <c r="F1130" s="164">
        <f>C1130*D1130*E1130</f>
        <v>1.0799999999999998</v>
      </c>
      <c r="G1130" s="163"/>
      <c r="H1130" s="164"/>
      <c r="I1130" s="165"/>
      <c r="J1130" s="166"/>
      <c r="K1130" s="166"/>
    </row>
    <row r="1131" spans="1:11" s="151" customFormat="1" ht="15.75">
      <c r="A1131" s="174"/>
      <c r="B1131" s="173"/>
      <c r="C1131" s="197">
        <v>3</v>
      </c>
      <c r="D1131" s="197">
        <v>0.15</v>
      </c>
      <c r="E1131" s="197">
        <v>0.24</v>
      </c>
      <c r="F1131" s="164">
        <f>C1131*D1131*E1131</f>
        <v>0.10799999999999998</v>
      </c>
      <c r="G1131" s="163"/>
      <c r="H1131" s="164"/>
      <c r="I1131" s="165"/>
      <c r="J1131" s="166"/>
      <c r="K1131" s="166"/>
    </row>
    <row r="1132" spans="1:11" s="151" customFormat="1" ht="15.75">
      <c r="A1132" s="174"/>
      <c r="B1132" s="173"/>
      <c r="C1132" s="197"/>
      <c r="D1132" s="197"/>
      <c r="E1132" s="197"/>
      <c r="F1132" s="164">
        <f>SUM(F1129:F1131)</f>
        <v>8.028</v>
      </c>
      <c r="G1132" s="163">
        <v>5</v>
      </c>
      <c r="H1132" s="164">
        <f>F1132*G1132%</f>
        <v>0.40140000000000003</v>
      </c>
      <c r="I1132" s="165">
        <f>F1132+H1132</f>
        <v>8.429400000000001</v>
      </c>
      <c r="J1132" s="166">
        <f>$D$9</f>
        <v>550</v>
      </c>
      <c r="K1132" s="166">
        <f>+J1132*I1132</f>
        <v>4636.170000000001</v>
      </c>
    </row>
    <row r="1133" spans="1:11" s="151" customFormat="1" ht="15.75">
      <c r="A1133" s="174"/>
      <c r="B1133" s="173" t="s">
        <v>103</v>
      </c>
      <c r="C1133" s="197">
        <v>1</v>
      </c>
      <c r="D1133" s="197">
        <f>E1125</f>
        <v>2.85</v>
      </c>
      <c r="E1133" s="197">
        <f>G1125</f>
        <v>2.4</v>
      </c>
      <c r="F1133" s="164">
        <f>C1133*D1133*E1133</f>
        <v>6.84</v>
      </c>
      <c r="G1133" s="197"/>
      <c r="H1133" s="163"/>
      <c r="I1133" s="165"/>
      <c r="J1133" s="166"/>
      <c r="K1133" s="166"/>
    </row>
    <row r="1134" spans="1:11" s="151" customFormat="1" ht="15.75">
      <c r="A1134" s="174"/>
      <c r="B1134" s="173"/>
      <c r="C1134" s="197">
        <f>2*3</f>
        <v>6</v>
      </c>
      <c r="D1134" s="197">
        <v>0.15</v>
      </c>
      <c r="E1134" s="197">
        <v>2.4</v>
      </c>
      <c r="F1134" s="164">
        <f>C1134*D1134*E1134</f>
        <v>2.1599999999999997</v>
      </c>
      <c r="G1134" s="163"/>
      <c r="H1134" s="164"/>
      <c r="I1134" s="165"/>
      <c r="J1134" s="166"/>
      <c r="K1134" s="166"/>
    </row>
    <row r="1135" spans="1:11" s="151" customFormat="1" ht="15.75">
      <c r="A1135" s="174"/>
      <c r="B1135" s="173"/>
      <c r="C1135" s="197">
        <v>3</v>
      </c>
      <c r="D1135" s="197">
        <v>0.15</v>
      </c>
      <c r="E1135" s="197">
        <v>0.24</v>
      </c>
      <c r="F1135" s="164">
        <f>C1135*D1135*E1135</f>
        <v>0.10799999999999998</v>
      </c>
      <c r="G1135" s="163"/>
      <c r="H1135" s="164"/>
      <c r="I1135" s="165"/>
      <c r="J1135" s="166"/>
      <c r="K1135" s="166"/>
    </row>
    <row r="1136" spans="1:11" s="151" customFormat="1" ht="15.75">
      <c r="A1136" s="174"/>
      <c r="B1136" s="173"/>
      <c r="C1136" s="197"/>
      <c r="D1136" s="197"/>
      <c r="E1136" s="197"/>
      <c r="F1136" s="164">
        <f>SUM(F1133:F1135)</f>
        <v>9.108</v>
      </c>
      <c r="G1136" s="197">
        <v>10</v>
      </c>
      <c r="H1136" s="163">
        <f>F1136*G1136%</f>
        <v>0.9108</v>
      </c>
      <c r="I1136" s="165">
        <f>F1136+H1136</f>
        <v>10.0188</v>
      </c>
      <c r="J1136" s="166">
        <f>$D$14</f>
        <v>300</v>
      </c>
      <c r="K1136" s="166">
        <f>+J1136*I1136</f>
        <v>3005.6400000000003</v>
      </c>
    </row>
    <row r="1137" spans="1:11" s="151" customFormat="1" ht="15.75">
      <c r="A1137" s="174"/>
      <c r="B1137" s="163" t="s">
        <v>117</v>
      </c>
      <c r="C1137" s="163">
        <v>1</v>
      </c>
      <c r="D1137" s="164">
        <f>+F1136</f>
        <v>9.108</v>
      </c>
      <c r="E1137" s="163">
        <v>3</v>
      </c>
      <c r="F1137" s="164">
        <f>C1137*D1137/E1137</f>
        <v>3.036</v>
      </c>
      <c r="G1137" s="163"/>
      <c r="H1137" s="163"/>
      <c r="I1137" s="176">
        <f>F1137</f>
        <v>3.036</v>
      </c>
      <c r="J1137" s="177">
        <f>$D$27</f>
        <v>225</v>
      </c>
      <c r="K1137" s="166">
        <f>+J1137*I1137</f>
        <v>683.1</v>
      </c>
    </row>
    <row r="1138" spans="1:11" s="151" customFormat="1" ht="15.75">
      <c r="A1138" s="174"/>
      <c r="B1138" s="167" t="s">
        <v>341</v>
      </c>
      <c r="C1138" s="163">
        <v>1</v>
      </c>
      <c r="D1138" s="164">
        <f>E1125</f>
        <v>2.85</v>
      </c>
      <c r="E1138" s="163">
        <f>G1125</f>
        <v>2.4</v>
      </c>
      <c r="F1138" s="164">
        <f>C1138*D1138*E1138</f>
        <v>6.84</v>
      </c>
      <c r="G1138" s="163"/>
      <c r="H1138" s="164">
        <f>F1138*G1138%</f>
        <v>0</v>
      </c>
      <c r="I1138" s="165">
        <f>F1138+H1138</f>
        <v>6.84</v>
      </c>
      <c r="J1138" s="166">
        <v>1350</v>
      </c>
      <c r="K1138" s="166">
        <f>+J1138*I1138</f>
        <v>9234</v>
      </c>
    </row>
    <row r="1139" spans="1:11" s="151" customFormat="1" ht="15.75">
      <c r="A1139" s="174"/>
      <c r="B1139" s="173" t="s">
        <v>121</v>
      </c>
      <c r="C1139" s="163">
        <f>2</f>
        <v>2</v>
      </c>
      <c r="D1139" s="164">
        <f>E1125</f>
        <v>2.85</v>
      </c>
      <c r="E1139" s="163"/>
      <c r="F1139" s="164">
        <f>D1139*C1139</f>
        <v>5.7</v>
      </c>
      <c r="G1139" s="163"/>
      <c r="H1139" s="164">
        <f>F1139*G1139%</f>
        <v>0</v>
      </c>
      <c r="I1139" s="165">
        <f>F1139+H1139</f>
        <v>5.7</v>
      </c>
      <c r="J1139" s="166">
        <f>$D$30</f>
        <v>500</v>
      </c>
      <c r="K1139" s="166">
        <f>+J1139*I1139</f>
        <v>2850</v>
      </c>
    </row>
    <row r="1140" spans="1:11" s="151" customFormat="1" ht="15.75">
      <c r="A1140" s="174"/>
      <c r="B1140" s="163" t="s">
        <v>231</v>
      </c>
      <c r="C1140" s="163"/>
      <c r="D1140" s="163"/>
      <c r="E1140" s="163"/>
      <c r="F1140" s="164"/>
      <c r="G1140" s="163"/>
      <c r="H1140" s="163"/>
      <c r="I1140" s="176"/>
      <c r="J1140" s="166"/>
      <c r="K1140" s="166">
        <v>300</v>
      </c>
    </row>
    <row r="1141" spans="1:11" s="151" customFormat="1" ht="15.75">
      <c r="A1141" s="174"/>
      <c r="B1141" s="199" t="s">
        <v>232</v>
      </c>
      <c r="C1141" s="163"/>
      <c r="D1141" s="164"/>
      <c r="E1141" s="163"/>
      <c r="F1141" s="200">
        <f>I1125</f>
        <v>6.84</v>
      </c>
      <c r="G1141" s="163"/>
      <c r="H1141" s="198">
        <v>600</v>
      </c>
      <c r="I1141" s="165"/>
      <c r="J1141" s="166"/>
      <c r="K1141" s="201">
        <f>H1141*F1141</f>
        <v>4104</v>
      </c>
    </row>
    <row r="1142" spans="1:11" s="151" customFormat="1" ht="16.5">
      <c r="A1142" s="174"/>
      <c r="B1142" s="152" t="s">
        <v>14</v>
      </c>
      <c r="C1142" s="163"/>
      <c r="D1142" s="163"/>
      <c r="E1142" s="163"/>
      <c r="F1142" s="163"/>
      <c r="G1142" s="163"/>
      <c r="H1142" s="163"/>
      <c r="I1142" s="165"/>
      <c r="J1142" s="166"/>
      <c r="K1142" s="202">
        <f>SUM(K1127:K1141)</f>
        <v>26901.36</v>
      </c>
    </row>
    <row r="1143" spans="1:11" s="151" customFormat="1" ht="15.75">
      <c r="A1143" s="174"/>
      <c r="B1143" s="184" t="str">
        <f>$B$7</f>
        <v>Add Towards Overhead and Profit</v>
      </c>
      <c r="C1143" s="197"/>
      <c r="D1143" s="203"/>
      <c r="E1143" s="203"/>
      <c r="F1143" s="185">
        <f>$F$7</f>
        <v>15</v>
      </c>
      <c r="G1143" s="161"/>
      <c r="H1143" s="161"/>
      <c r="I1143" s="182"/>
      <c r="J1143" s="177"/>
      <c r="K1143" s="169">
        <f>+K1142*F1143%</f>
        <v>4035.2039999999997</v>
      </c>
    </row>
    <row r="1144" spans="1:11" s="151" customFormat="1" ht="15.75">
      <c r="A1144" s="174"/>
      <c r="B1144" s="184" t="s">
        <v>223</v>
      </c>
      <c r="C1144" s="197"/>
      <c r="D1144" s="203"/>
      <c r="E1144" s="203"/>
      <c r="F1144" s="185"/>
      <c r="G1144" s="161"/>
      <c r="H1144" s="161"/>
      <c r="I1144" s="182"/>
      <c r="J1144" s="177"/>
      <c r="K1144" s="169">
        <f>SUM(K1142:K1143)</f>
        <v>30936.564</v>
      </c>
    </row>
    <row r="1145" spans="1:11" s="151" customFormat="1" ht="15.75">
      <c r="A1145" s="174"/>
      <c r="B1145" s="161" t="s">
        <v>233</v>
      </c>
      <c r="C1145" s="197"/>
      <c r="D1145" s="203" t="s">
        <v>180</v>
      </c>
      <c r="E1145" s="203"/>
      <c r="F1145" s="186"/>
      <c r="G1145" s="186"/>
      <c r="H1145" s="186"/>
      <c r="I1145" s="204">
        <f>I1125</f>
        <v>6.84</v>
      </c>
      <c r="J1145" s="205"/>
      <c r="K1145" s="177">
        <f>K1144/I1145</f>
        <v>4522.88947368421</v>
      </c>
    </row>
    <row r="1146" spans="1:11" s="151" customFormat="1" ht="16.5">
      <c r="A1146" s="174"/>
      <c r="B1146" s="152" t="s">
        <v>233</v>
      </c>
      <c r="C1146" s="206"/>
      <c r="D1146" s="207"/>
      <c r="E1146" s="208"/>
      <c r="F1146" s="152"/>
      <c r="G1146" s="152"/>
      <c r="H1146" s="152"/>
      <c r="I1146" s="191"/>
      <c r="J1146" s="153"/>
      <c r="K1146" s="209">
        <f>ROUND(K1145,0)</f>
        <v>4523</v>
      </c>
    </row>
    <row r="1147" spans="1:11" s="151" customFormat="1" ht="17.25">
      <c r="A1147" s="174"/>
      <c r="B1147" s="152"/>
      <c r="C1147" s="186"/>
      <c r="D1147" s="152"/>
      <c r="E1147" s="152"/>
      <c r="F1147" s="152"/>
      <c r="G1147" s="152"/>
      <c r="H1147" s="152"/>
      <c r="I1147" s="210" t="s">
        <v>224</v>
      </c>
      <c r="J1147" s="188"/>
      <c r="K1147" s="189">
        <v>4500</v>
      </c>
    </row>
  </sheetData>
  <sheetProtection/>
  <mergeCells count="12">
    <mergeCell ref="B305:I305"/>
    <mergeCell ref="B317:D317"/>
    <mergeCell ref="B338:D338"/>
    <mergeCell ref="D385:F385"/>
    <mergeCell ref="D429:F429"/>
    <mergeCell ref="B1126:D1126"/>
    <mergeCell ref="A1:K1"/>
    <mergeCell ref="A3:K3"/>
    <mergeCell ref="B61:G61"/>
    <mergeCell ref="A135:E135"/>
    <mergeCell ref="B139:D139"/>
    <mergeCell ref="B168:D168"/>
  </mergeCells>
  <printOptions/>
  <pageMargins left="0.5" right="0.25" top="0.75" bottom="0.5" header="0.25" footer="0.35"/>
  <pageSetup horizontalDpi="600" verticalDpi="600" orientation="landscape" paperSize="9" scale="70" r:id="rId1"/>
  <headerFooter alignWithMargins="0">
    <oddFooter>&amp;L&amp;"Snap ITC,Regular"&amp;9mape connoisseurs:&amp;"Book Antiqua,Regular" SBIIMS - Uniform Layout for Branch Interiors - Interior Rateanalysis.&amp;R&amp;P/&amp;N</oddFooter>
  </headerFooter>
  <rowBreaks count="10" manualBreakCount="10">
    <brk id="134" max="10" man="1"/>
    <brk id="212" max="255" man="1"/>
    <brk id="234" max="255" man="1"/>
    <brk id="264" max="10" man="1"/>
    <brk id="304" max="10" man="1"/>
    <brk id="335" max="255" man="1"/>
    <brk id="852" max="255" man="1"/>
    <brk id="975" max="10" man="1"/>
    <brk id="1006" max="255" man="1"/>
    <brk id="1031" max="255" man="1"/>
  </rowBreaks>
</worksheet>
</file>

<file path=xl/worksheets/sheet2.xml><?xml version="1.0" encoding="utf-8"?>
<worksheet xmlns="http://schemas.openxmlformats.org/spreadsheetml/2006/main" xmlns:r="http://schemas.openxmlformats.org/officeDocument/2006/relationships">
  <dimension ref="A1:L225"/>
  <sheetViews>
    <sheetView tabSelected="1" zoomScale="110" zoomScaleNormal="110" zoomScaleSheetLayoutView="110" zoomScalePageLayoutView="90" workbookViewId="0" topLeftCell="A1">
      <selection activeCell="B92" sqref="B92"/>
    </sheetView>
  </sheetViews>
  <sheetFormatPr defaultColWidth="9.140625" defaultRowHeight="12.75"/>
  <cols>
    <col min="1" max="1" width="7.00390625" style="251" customWidth="1"/>
    <col min="2" max="2" width="54.140625" style="251" customWidth="1"/>
    <col min="3" max="3" width="7.421875" style="252" customWidth="1"/>
    <col min="4" max="4" width="11.28125" style="253" customWidth="1"/>
    <col min="5" max="5" width="7.421875" style="252" customWidth="1"/>
    <col min="6" max="6" width="12.00390625" style="253" customWidth="1"/>
    <col min="7" max="16384" width="9.140625" style="251" customWidth="1"/>
  </cols>
  <sheetData>
    <row r="1" spans="1:6" ht="32.25" customHeight="1">
      <c r="A1" s="350" t="s">
        <v>359</v>
      </c>
      <c r="B1" s="350"/>
      <c r="C1" s="350"/>
      <c r="D1" s="350"/>
      <c r="E1" s="350"/>
      <c r="F1" s="350"/>
    </row>
    <row r="2" spans="1:6" ht="15.75">
      <c r="A2" s="351"/>
      <c r="B2" s="352"/>
      <c r="C2" s="352"/>
      <c r="D2" s="352"/>
      <c r="E2" s="352"/>
      <c r="F2" s="352"/>
    </row>
    <row r="3" spans="1:6" ht="15.75">
      <c r="A3" s="351" t="s">
        <v>52</v>
      </c>
      <c r="B3" s="351"/>
      <c r="C3" s="351"/>
      <c r="D3" s="351"/>
      <c r="E3" s="351"/>
      <c r="F3" s="351"/>
    </row>
    <row r="5" spans="1:6" ht="28.5" customHeight="1">
      <c r="A5" s="345" t="s">
        <v>437</v>
      </c>
      <c r="B5" s="346"/>
      <c r="C5" s="346"/>
      <c r="D5" s="346"/>
      <c r="E5" s="346"/>
      <c r="F5" s="347"/>
    </row>
    <row r="6" spans="1:6" ht="31.5">
      <c r="A6" s="254" t="s">
        <v>15</v>
      </c>
      <c r="B6" s="254" t="s">
        <v>16</v>
      </c>
      <c r="C6" s="254" t="s">
        <v>21</v>
      </c>
      <c r="D6" s="255" t="s">
        <v>17</v>
      </c>
      <c r="E6" s="254" t="s">
        <v>18</v>
      </c>
      <c r="F6" s="255" t="s">
        <v>4</v>
      </c>
    </row>
    <row r="7" spans="1:6" ht="15.75">
      <c r="A7" s="256" t="s">
        <v>8</v>
      </c>
      <c r="B7" s="257" t="s">
        <v>9</v>
      </c>
      <c r="C7" s="254"/>
      <c r="D7" s="255"/>
      <c r="E7" s="254"/>
      <c r="F7" s="255"/>
    </row>
    <row r="8" spans="1:6" ht="15.75">
      <c r="A8" s="258">
        <v>1</v>
      </c>
      <c r="B8" s="259" t="s">
        <v>13</v>
      </c>
      <c r="C8" s="260"/>
      <c r="D8" s="261"/>
      <c r="E8" s="260"/>
      <c r="F8" s="261"/>
    </row>
    <row r="9" spans="1:6" ht="15.75">
      <c r="A9" s="256">
        <v>1.1</v>
      </c>
      <c r="B9" s="259" t="s">
        <v>3</v>
      </c>
      <c r="C9" s="262">
        <v>35</v>
      </c>
      <c r="D9" s="263"/>
      <c r="E9" s="264" t="s">
        <v>7</v>
      </c>
      <c r="F9" s="265"/>
    </row>
    <row r="10" spans="1:12" ht="31.5">
      <c r="A10" s="349"/>
      <c r="B10" s="266" t="s">
        <v>20</v>
      </c>
      <c r="C10" s="349"/>
      <c r="D10" s="349"/>
      <c r="E10" s="349"/>
      <c r="F10" s="349"/>
      <c r="L10" s="263"/>
    </row>
    <row r="11" spans="1:6" ht="126">
      <c r="A11" s="349"/>
      <c r="B11" s="266" t="s">
        <v>38</v>
      </c>
      <c r="C11" s="349"/>
      <c r="D11" s="349"/>
      <c r="E11" s="349"/>
      <c r="F11" s="349"/>
    </row>
    <row r="12" spans="1:6" ht="47.25">
      <c r="A12" s="349"/>
      <c r="B12" s="266" t="s">
        <v>361</v>
      </c>
      <c r="C12" s="349"/>
      <c r="D12" s="349"/>
      <c r="E12" s="349"/>
      <c r="F12" s="349"/>
    </row>
    <row r="13" spans="1:6" ht="173.25" customHeight="1">
      <c r="A13" s="349"/>
      <c r="B13" s="266" t="s">
        <v>448</v>
      </c>
      <c r="C13" s="349"/>
      <c r="D13" s="349"/>
      <c r="E13" s="349"/>
      <c r="F13" s="349"/>
    </row>
    <row r="14" spans="1:6" ht="58.5" customHeight="1">
      <c r="A14" s="349"/>
      <c r="B14" s="267" t="s">
        <v>39</v>
      </c>
      <c r="C14" s="349"/>
      <c r="D14" s="349"/>
      <c r="E14" s="349"/>
      <c r="F14" s="349"/>
    </row>
    <row r="15" spans="1:6" ht="47.25">
      <c r="A15" s="349"/>
      <c r="B15" s="266" t="s">
        <v>40</v>
      </c>
      <c r="C15" s="349"/>
      <c r="D15" s="349"/>
      <c r="E15" s="349"/>
      <c r="F15" s="349"/>
    </row>
    <row r="16" spans="1:6" ht="31.5">
      <c r="A16" s="349"/>
      <c r="B16" s="266" t="s">
        <v>41</v>
      </c>
      <c r="C16" s="349"/>
      <c r="D16" s="349"/>
      <c r="E16" s="349"/>
      <c r="F16" s="349"/>
    </row>
    <row r="17" spans="1:6" ht="47.25">
      <c r="A17" s="349"/>
      <c r="B17" s="266" t="s">
        <v>42</v>
      </c>
      <c r="C17" s="349"/>
      <c r="D17" s="349"/>
      <c r="E17" s="349"/>
      <c r="F17" s="349"/>
    </row>
    <row r="18" spans="1:6" ht="15.75">
      <c r="A18" s="268">
        <v>1.2</v>
      </c>
      <c r="B18" s="269" t="s">
        <v>46</v>
      </c>
      <c r="C18" s="262">
        <v>35</v>
      </c>
      <c r="D18" s="263"/>
      <c r="E18" s="264" t="s">
        <v>7</v>
      </c>
      <c r="F18" s="265"/>
    </row>
    <row r="19" spans="1:6" ht="47.25">
      <c r="A19" s="349"/>
      <c r="B19" s="267" t="s">
        <v>27</v>
      </c>
      <c r="C19" s="360"/>
      <c r="D19" s="357"/>
      <c r="E19" s="348"/>
      <c r="F19" s="360"/>
    </row>
    <row r="20" spans="1:6" ht="47.25">
      <c r="A20" s="349"/>
      <c r="B20" s="266" t="s">
        <v>449</v>
      </c>
      <c r="C20" s="360"/>
      <c r="D20" s="357"/>
      <c r="E20" s="348"/>
      <c r="F20" s="360"/>
    </row>
    <row r="21" spans="1:6" ht="144" customHeight="1">
      <c r="A21" s="349"/>
      <c r="B21" s="266" t="s">
        <v>450</v>
      </c>
      <c r="C21" s="360"/>
      <c r="D21" s="357"/>
      <c r="E21" s="348"/>
      <c r="F21" s="360"/>
    </row>
    <row r="22" spans="1:6" ht="51" customHeight="1">
      <c r="A22" s="349"/>
      <c r="B22" s="271" t="s">
        <v>47</v>
      </c>
      <c r="C22" s="360"/>
      <c r="D22" s="357"/>
      <c r="E22" s="348"/>
      <c r="F22" s="360"/>
    </row>
    <row r="23" spans="1:6" ht="31.5">
      <c r="A23" s="256"/>
      <c r="B23" s="266" t="s">
        <v>358</v>
      </c>
      <c r="C23" s="270"/>
      <c r="D23" s="262"/>
      <c r="E23" s="264"/>
      <c r="F23" s="270"/>
    </row>
    <row r="24" spans="1:6" ht="15.75">
      <c r="A24" s="272">
        <v>1.3</v>
      </c>
      <c r="B24" s="273" t="s">
        <v>334</v>
      </c>
      <c r="C24" s="262">
        <v>10</v>
      </c>
      <c r="D24" s="274"/>
      <c r="E24" s="264" t="s">
        <v>7</v>
      </c>
      <c r="F24" s="265"/>
    </row>
    <row r="25" spans="1:6" ht="110.25">
      <c r="A25" s="355"/>
      <c r="B25" s="266" t="s">
        <v>417</v>
      </c>
      <c r="C25" s="353"/>
      <c r="D25" s="353"/>
      <c r="E25" s="358"/>
      <c r="F25" s="353"/>
    </row>
    <row r="26" spans="1:6" ht="110.25">
      <c r="A26" s="356"/>
      <c r="B26" s="271" t="s">
        <v>418</v>
      </c>
      <c r="C26" s="354"/>
      <c r="D26" s="354"/>
      <c r="E26" s="359"/>
      <c r="F26" s="354"/>
    </row>
    <row r="27" spans="1:6" ht="33" customHeight="1">
      <c r="A27" s="275">
        <v>1.4</v>
      </c>
      <c r="B27" s="259" t="s">
        <v>48</v>
      </c>
      <c r="C27" s="262">
        <v>31</v>
      </c>
      <c r="D27" s="265"/>
      <c r="E27" s="264" t="s">
        <v>7</v>
      </c>
      <c r="F27" s="265"/>
    </row>
    <row r="28" spans="1:6" ht="295.5" customHeight="1">
      <c r="A28" s="256"/>
      <c r="B28" s="267" t="s">
        <v>416</v>
      </c>
      <c r="C28" s="270"/>
      <c r="D28" s="262"/>
      <c r="E28" s="264"/>
      <c r="F28" s="270"/>
    </row>
    <row r="29" spans="1:6" ht="78.75">
      <c r="A29" s="256"/>
      <c r="B29" s="267" t="s">
        <v>385</v>
      </c>
      <c r="C29" s="270"/>
      <c r="D29" s="262"/>
      <c r="E29" s="264"/>
      <c r="F29" s="270"/>
    </row>
    <row r="30" spans="1:6" ht="31.5">
      <c r="A30" s="275">
        <v>1.5</v>
      </c>
      <c r="B30" s="259" t="s">
        <v>50</v>
      </c>
      <c r="C30" s="262">
        <v>9</v>
      </c>
      <c r="D30" s="265"/>
      <c r="E30" s="264" t="s">
        <v>7</v>
      </c>
      <c r="F30" s="265"/>
    </row>
    <row r="31" spans="1:6" ht="220.5">
      <c r="A31" s="344"/>
      <c r="B31" s="267" t="s">
        <v>360</v>
      </c>
      <c r="C31" s="344"/>
      <c r="D31" s="344"/>
      <c r="E31" s="344"/>
      <c r="F31" s="344"/>
    </row>
    <row r="32" spans="1:6" ht="173.25">
      <c r="A32" s="344"/>
      <c r="B32" s="267" t="s">
        <v>89</v>
      </c>
      <c r="C32" s="344"/>
      <c r="D32" s="344"/>
      <c r="E32" s="344"/>
      <c r="F32" s="344"/>
    </row>
    <row r="33" spans="1:6" ht="63">
      <c r="A33" s="344"/>
      <c r="B33" s="266" t="s">
        <v>49</v>
      </c>
      <c r="C33" s="344"/>
      <c r="D33" s="344"/>
      <c r="E33" s="344"/>
      <c r="F33" s="344"/>
    </row>
    <row r="34" spans="1:6" ht="15.75">
      <c r="A34" s="276">
        <v>1.6</v>
      </c>
      <c r="B34" s="277" t="s">
        <v>10</v>
      </c>
      <c r="C34" s="262"/>
      <c r="D34" s="265"/>
      <c r="E34" s="264"/>
      <c r="F34" s="265"/>
    </row>
    <row r="35" spans="1:6" ht="15.75">
      <c r="A35" s="276" t="s">
        <v>75</v>
      </c>
      <c r="B35" s="277" t="s">
        <v>76</v>
      </c>
      <c r="C35" s="262">
        <v>30</v>
      </c>
      <c r="D35" s="274"/>
      <c r="E35" s="264" t="s">
        <v>7</v>
      </c>
      <c r="F35" s="265"/>
    </row>
    <row r="36" spans="1:6" ht="63">
      <c r="A36" s="348"/>
      <c r="B36" s="266" t="s">
        <v>51</v>
      </c>
      <c r="C36" s="348"/>
      <c r="D36" s="348"/>
      <c r="E36" s="348"/>
      <c r="F36" s="348"/>
    </row>
    <row r="37" spans="1:6" ht="31.5">
      <c r="A37" s="348"/>
      <c r="B37" s="266" t="s">
        <v>53</v>
      </c>
      <c r="C37" s="348"/>
      <c r="D37" s="348"/>
      <c r="E37" s="348"/>
      <c r="F37" s="348"/>
    </row>
    <row r="38" spans="1:6" ht="31.5">
      <c r="A38" s="348"/>
      <c r="B38" s="266" t="s">
        <v>54</v>
      </c>
      <c r="C38" s="348"/>
      <c r="D38" s="348"/>
      <c r="E38" s="348"/>
      <c r="F38" s="348"/>
    </row>
    <row r="39" spans="1:6" ht="31.5">
      <c r="A39" s="268" t="s">
        <v>77</v>
      </c>
      <c r="B39" s="269" t="s">
        <v>78</v>
      </c>
      <c r="C39" s="262">
        <v>19</v>
      </c>
      <c r="D39" s="278"/>
      <c r="E39" s="264" t="s">
        <v>7</v>
      </c>
      <c r="F39" s="265"/>
    </row>
    <row r="40" spans="1:6" ht="47.25">
      <c r="A40" s="268"/>
      <c r="B40" s="267" t="s">
        <v>419</v>
      </c>
      <c r="C40" s="262"/>
      <c r="D40" s="278"/>
      <c r="E40" s="264"/>
      <c r="F40" s="265"/>
    </row>
    <row r="41" spans="1:6" ht="15.75">
      <c r="A41" s="268">
        <v>1.7</v>
      </c>
      <c r="B41" s="269" t="s">
        <v>79</v>
      </c>
      <c r="C41" s="262">
        <v>16</v>
      </c>
      <c r="D41" s="278"/>
      <c r="E41" s="264" t="s">
        <v>7</v>
      </c>
      <c r="F41" s="265"/>
    </row>
    <row r="42" spans="1:6" ht="33.75" customHeight="1">
      <c r="A42" s="349"/>
      <c r="B42" s="266" t="s">
        <v>80</v>
      </c>
      <c r="C42" s="349"/>
      <c r="D42" s="349"/>
      <c r="E42" s="349"/>
      <c r="F42" s="349"/>
    </row>
    <row r="43" spans="1:6" ht="126">
      <c r="A43" s="349"/>
      <c r="B43" s="266" t="s">
        <v>38</v>
      </c>
      <c r="C43" s="349"/>
      <c r="D43" s="349"/>
      <c r="E43" s="349"/>
      <c r="F43" s="349"/>
    </row>
    <row r="44" spans="1:6" ht="35.25" customHeight="1">
      <c r="A44" s="349"/>
      <c r="B44" s="266" t="s">
        <v>362</v>
      </c>
      <c r="C44" s="349"/>
      <c r="D44" s="349"/>
      <c r="E44" s="349"/>
      <c r="F44" s="349"/>
    </row>
    <row r="45" spans="1:6" ht="78.75">
      <c r="A45" s="349"/>
      <c r="B45" s="266" t="s">
        <v>81</v>
      </c>
      <c r="C45" s="349"/>
      <c r="D45" s="349"/>
      <c r="E45" s="349"/>
      <c r="F45" s="349"/>
    </row>
    <row r="46" spans="1:6" ht="63">
      <c r="A46" s="349"/>
      <c r="B46" s="267" t="s">
        <v>82</v>
      </c>
      <c r="C46" s="349"/>
      <c r="D46" s="349"/>
      <c r="E46" s="349"/>
      <c r="F46" s="349"/>
    </row>
    <row r="47" spans="1:6" ht="52.5" customHeight="1">
      <c r="A47" s="349"/>
      <c r="B47" s="266" t="s">
        <v>83</v>
      </c>
      <c r="C47" s="349"/>
      <c r="D47" s="349"/>
      <c r="E47" s="349"/>
      <c r="F47" s="349"/>
    </row>
    <row r="48" spans="1:6" ht="31.5">
      <c r="A48" s="349"/>
      <c r="B48" s="266" t="s">
        <v>41</v>
      </c>
      <c r="C48" s="349"/>
      <c r="D48" s="349"/>
      <c r="E48" s="349"/>
      <c r="F48" s="349"/>
    </row>
    <row r="49" spans="1:6" ht="47.25">
      <c r="A49" s="349"/>
      <c r="B49" s="266" t="s">
        <v>42</v>
      </c>
      <c r="C49" s="349"/>
      <c r="D49" s="349"/>
      <c r="E49" s="349"/>
      <c r="F49" s="349"/>
    </row>
    <row r="50" spans="1:6" ht="20.25" customHeight="1">
      <c r="A50" s="268">
        <v>1.8</v>
      </c>
      <c r="B50" s="269" t="s">
        <v>84</v>
      </c>
      <c r="C50" s="262">
        <v>8</v>
      </c>
      <c r="D50" s="278"/>
      <c r="E50" s="264" t="s">
        <v>7</v>
      </c>
      <c r="F50" s="265"/>
    </row>
    <row r="51" spans="1:6" ht="141.75">
      <c r="A51" s="268"/>
      <c r="B51" s="266" t="s">
        <v>63</v>
      </c>
      <c r="C51" s="262"/>
      <c r="D51" s="278"/>
      <c r="E51" s="264"/>
      <c r="F51" s="265"/>
    </row>
    <row r="52" spans="1:6" ht="15.75">
      <c r="A52" s="279">
        <v>1.9</v>
      </c>
      <c r="B52" s="267" t="s">
        <v>353</v>
      </c>
      <c r="C52" s="262">
        <v>7</v>
      </c>
      <c r="D52" s="278"/>
      <c r="E52" s="264" t="s">
        <v>7</v>
      </c>
      <c r="F52" s="265"/>
    </row>
    <row r="53" spans="1:6" ht="252">
      <c r="A53" s="280"/>
      <c r="B53" s="266" t="s">
        <v>354</v>
      </c>
      <c r="C53" s="262"/>
      <c r="D53" s="278"/>
      <c r="E53" s="264"/>
      <c r="F53" s="265"/>
    </row>
    <row r="54" spans="1:6" ht="47.25">
      <c r="A54" s="280"/>
      <c r="B54" s="266" t="s">
        <v>352</v>
      </c>
      <c r="C54" s="262"/>
      <c r="D54" s="278"/>
      <c r="E54" s="264"/>
      <c r="F54" s="265"/>
    </row>
    <row r="55" spans="1:6" ht="15.75">
      <c r="A55" s="281">
        <v>1.1</v>
      </c>
      <c r="B55" s="267" t="s">
        <v>355</v>
      </c>
      <c r="C55" s="262">
        <v>12</v>
      </c>
      <c r="D55" s="278"/>
      <c r="E55" s="264" t="s">
        <v>7</v>
      </c>
      <c r="F55" s="265"/>
    </row>
    <row r="56" spans="1:6" ht="110.25">
      <c r="A56" s="280"/>
      <c r="B56" s="266" t="s">
        <v>356</v>
      </c>
      <c r="C56" s="262"/>
      <c r="D56" s="278"/>
      <c r="E56" s="264"/>
      <c r="F56" s="265"/>
    </row>
    <row r="57" spans="1:6" ht="78.75">
      <c r="A57" s="280"/>
      <c r="B57" s="266" t="s">
        <v>357</v>
      </c>
      <c r="C57" s="262"/>
      <c r="D57" s="278"/>
      <c r="E57" s="264"/>
      <c r="F57" s="265"/>
    </row>
    <row r="58" spans="1:6" ht="15.75">
      <c r="A58" s="268">
        <v>2</v>
      </c>
      <c r="B58" s="269" t="s">
        <v>11</v>
      </c>
      <c r="C58" s="262"/>
      <c r="D58" s="265"/>
      <c r="E58" s="264"/>
      <c r="F58" s="265"/>
    </row>
    <row r="59" spans="1:6" ht="63">
      <c r="A59" s="268"/>
      <c r="B59" s="267" t="s">
        <v>23</v>
      </c>
      <c r="C59" s="270"/>
      <c r="D59" s="270"/>
      <c r="E59" s="264"/>
      <c r="F59" s="270"/>
    </row>
    <row r="60" spans="1:6" ht="15.75">
      <c r="A60" s="272">
        <v>2.1</v>
      </c>
      <c r="B60" s="269" t="s">
        <v>22</v>
      </c>
      <c r="C60" s="262">
        <v>165</v>
      </c>
      <c r="D60" s="274"/>
      <c r="E60" s="264" t="s">
        <v>7</v>
      </c>
      <c r="F60" s="265"/>
    </row>
    <row r="61" spans="1:6" ht="124.5" customHeight="1">
      <c r="A61" s="357"/>
      <c r="B61" s="267" t="s">
        <v>56</v>
      </c>
      <c r="C61" s="357"/>
      <c r="D61" s="357"/>
      <c r="E61" s="357"/>
      <c r="F61" s="357"/>
    </row>
    <row r="62" spans="1:6" ht="154.5" customHeight="1">
      <c r="A62" s="357"/>
      <c r="B62" s="267" t="s">
        <v>59</v>
      </c>
      <c r="C62" s="357"/>
      <c r="D62" s="357"/>
      <c r="E62" s="357"/>
      <c r="F62" s="357"/>
    </row>
    <row r="63" spans="1:6" ht="94.5">
      <c r="A63" s="357"/>
      <c r="B63" s="267" t="s">
        <v>57</v>
      </c>
      <c r="C63" s="357"/>
      <c r="D63" s="357"/>
      <c r="E63" s="357"/>
      <c r="F63" s="357"/>
    </row>
    <row r="64" spans="1:6" ht="134.25" customHeight="1">
      <c r="A64" s="357"/>
      <c r="B64" s="267" t="s">
        <v>58</v>
      </c>
      <c r="C64" s="357"/>
      <c r="D64" s="357"/>
      <c r="E64" s="357"/>
      <c r="F64" s="357"/>
    </row>
    <row r="65" spans="1:6" ht="15.75">
      <c r="A65" s="268">
        <v>2.2</v>
      </c>
      <c r="B65" s="269" t="s">
        <v>12</v>
      </c>
      <c r="C65" s="262">
        <v>140</v>
      </c>
      <c r="D65" s="274"/>
      <c r="E65" s="264" t="s">
        <v>7</v>
      </c>
      <c r="F65" s="265"/>
    </row>
    <row r="66" spans="1:6" ht="78.75">
      <c r="A66" s="348"/>
      <c r="B66" s="267" t="s">
        <v>60</v>
      </c>
      <c r="C66" s="360"/>
      <c r="D66" s="360"/>
      <c r="E66" s="348"/>
      <c r="F66" s="360"/>
    </row>
    <row r="67" spans="1:6" ht="176.25" customHeight="1">
      <c r="A67" s="348"/>
      <c r="B67" s="267" t="s">
        <v>320</v>
      </c>
      <c r="C67" s="360"/>
      <c r="D67" s="360"/>
      <c r="E67" s="348"/>
      <c r="F67" s="360"/>
    </row>
    <row r="68" spans="1:6" ht="42" customHeight="1">
      <c r="A68" s="348"/>
      <c r="B68" s="266" t="s">
        <v>61</v>
      </c>
      <c r="C68" s="360"/>
      <c r="D68" s="360"/>
      <c r="E68" s="348"/>
      <c r="F68" s="360"/>
    </row>
    <row r="69" spans="1:6" ht="78.75">
      <c r="A69" s="348"/>
      <c r="B69" s="267" t="s">
        <v>62</v>
      </c>
      <c r="C69" s="360"/>
      <c r="D69" s="360"/>
      <c r="E69" s="348"/>
      <c r="F69" s="360"/>
    </row>
    <row r="70" spans="1:6" ht="15.75">
      <c r="A70" s="272">
        <v>2.3</v>
      </c>
      <c r="B70" s="269" t="s">
        <v>6</v>
      </c>
      <c r="C70" s="262">
        <v>20</v>
      </c>
      <c r="D70" s="274"/>
      <c r="E70" s="264" t="s">
        <v>7</v>
      </c>
      <c r="F70" s="265"/>
    </row>
    <row r="71" spans="1:6" ht="47.25">
      <c r="A71" s="272"/>
      <c r="B71" s="267" t="s">
        <v>55</v>
      </c>
      <c r="C71" s="270"/>
      <c r="D71" s="270"/>
      <c r="E71" s="264"/>
      <c r="F71" s="270"/>
    </row>
    <row r="72" spans="1:6" s="283" customFormat="1" ht="15.75">
      <c r="A72" s="282">
        <v>3</v>
      </c>
      <c r="B72" s="277" t="s">
        <v>2</v>
      </c>
      <c r="C72" s="262">
        <v>8</v>
      </c>
      <c r="D72" s="274"/>
      <c r="E72" s="264" t="s">
        <v>7</v>
      </c>
      <c r="F72" s="265"/>
    </row>
    <row r="73" spans="1:6" s="283" customFormat="1" ht="204.75">
      <c r="A73" s="264"/>
      <c r="B73" s="266" t="s">
        <v>451</v>
      </c>
      <c r="C73" s="270"/>
      <c r="D73" s="270"/>
      <c r="E73" s="264"/>
      <c r="F73" s="270"/>
    </row>
    <row r="74" spans="1:6" s="284" customFormat="1" ht="15.75">
      <c r="A74" s="282">
        <v>4</v>
      </c>
      <c r="B74" s="277" t="s">
        <v>19</v>
      </c>
      <c r="C74" s="262"/>
      <c r="D74" s="265"/>
      <c r="E74" s="264"/>
      <c r="F74" s="265"/>
    </row>
    <row r="75" spans="1:6" s="284" customFormat="1" ht="15.75">
      <c r="A75" s="272">
        <v>4.1</v>
      </c>
      <c r="B75" s="277" t="s">
        <v>64</v>
      </c>
      <c r="C75" s="285">
        <v>1</v>
      </c>
      <c r="D75" s="286"/>
      <c r="E75" s="264" t="s">
        <v>1</v>
      </c>
      <c r="F75" s="265"/>
    </row>
    <row r="76" spans="1:6" s="284" customFormat="1" ht="63">
      <c r="A76" s="348"/>
      <c r="B76" s="266" t="s">
        <v>67</v>
      </c>
      <c r="C76" s="348"/>
      <c r="D76" s="348"/>
      <c r="E76" s="348"/>
      <c r="F76" s="348"/>
    </row>
    <row r="77" spans="1:6" s="284" customFormat="1" ht="110.25">
      <c r="A77" s="348"/>
      <c r="B77" s="266" t="s">
        <v>372</v>
      </c>
      <c r="C77" s="348"/>
      <c r="D77" s="348"/>
      <c r="E77" s="348"/>
      <c r="F77" s="348"/>
    </row>
    <row r="78" spans="1:6" ht="47.25">
      <c r="A78" s="348"/>
      <c r="B78" s="266" t="s">
        <v>43</v>
      </c>
      <c r="C78" s="348"/>
      <c r="D78" s="348"/>
      <c r="E78" s="348"/>
      <c r="F78" s="348"/>
    </row>
    <row r="79" spans="1:6" ht="63">
      <c r="A79" s="348"/>
      <c r="B79" s="266" t="s">
        <v>363</v>
      </c>
      <c r="C79" s="348"/>
      <c r="D79" s="348"/>
      <c r="E79" s="348"/>
      <c r="F79" s="348"/>
    </row>
    <row r="80" spans="1:6" ht="31.5">
      <c r="A80" s="348"/>
      <c r="B80" s="266" t="s">
        <v>364</v>
      </c>
      <c r="C80" s="348"/>
      <c r="D80" s="348"/>
      <c r="E80" s="348"/>
      <c r="F80" s="348"/>
    </row>
    <row r="81" spans="1:6" ht="15.75">
      <c r="A81" s="348"/>
      <c r="B81" s="266" t="s">
        <v>37</v>
      </c>
      <c r="C81" s="348"/>
      <c r="D81" s="348"/>
      <c r="E81" s="348"/>
      <c r="F81" s="348"/>
    </row>
    <row r="82" spans="1:6" ht="15.75">
      <c r="A82" s="348"/>
      <c r="B82" s="266" t="s">
        <v>44</v>
      </c>
      <c r="C82" s="348"/>
      <c r="D82" s="348"/>
      <c r="E82" s="348"/>
      <c r="F82" s="348"/>
    </row>
    <row r="83" spans="1:6" ht="94.5">
      <c r="A83" s="348"/>
      <c r="B83" s="266" t="s">
        <v>365</v>
      </c>
      <c r="C83" s="348"/>
      <c r="D83" s="348"/>
      <c r="E83" s="348"/>
      <c r="F83" s="348"/>
    </row>
    <row r="84" spans="1:6" ht="78.75">
      <c r="A84" s="348"/>
      <c r="B84" s="266" t="s">
        <v>366</v>
      </c>
      <c r="C84" s="348"/>
      <c r="D84" s="348"/>
      <c r="E84" s="348"/>
      <c r="F84" s="348"/>
    </row>
    <row r="85" spans="1:6" ht="31.5">
      <c r="A85" s="348"/>
      <c r="B85" s="266" t="s">
        <v>66</v>
      </c>
      <c r="C85" s="348"/>
      <c r="D85" s="348"/>
      <c r="E85" s="348"/>
      <c r="F85" s="348"/>
    </row>
    <row r="86" spans="1:6" ht="31.5">
      <c r="A86" s="348"/>
      <c r="B86" s="266" t="s">
        <v>65</v>
      </c>
      <c r="C86" s="348"/>
      <c r="D86" s="348"/>
      <c r="E86" s="348"/>
      <c r="F86" s="348"/>
    </row>
    <row r="87" spans="1:6" ht="31.5">
      <c r="A87" s="348"/>
      <c r="B87" s="266" t="s">
        <v>45</v>
      </c>
      <c r="C87" s="348"/>
      <c r="D87" s="348"/>
      <c r="E87" s="348"/>
      <c r="F87" s="348"/>
    </row>
    <row r="88" spans="1:6" ht="15.75">
      <c r="A88" s="276">
        <v>4.2</v>
      </c>
      <c r="B88" s="277" t="s">
        <v>68</v>
      </c>
      <c r="C88" s="285">
        <v>3</v>
      </c>
      <c r="D88" s="286"/>
      <c r="E88" s="264" t="s">
        <v>1</v>
      </c>
      <c r="F88" s="265"/>
    </row>
    <row r="89" spans="1:6" ht="63">
      <c r="A89" s="348"/>
      <c r="B89" s="266" t="s">
        <v>69</v>
      </c>
      <c r="C89" s="348"/>
      <c r="D89" s="348"/>
      <c r="E89" s="348"/>
      <c r="F89" s="348"/>
    </row>
    <row r="90" spans="1:6" s="283" customFormat="1" ht="126">
      <c r="A90" s="348"/>
      <c r="B90" s="266" t="s">
        <v>367</v>
      </c>
      <c r="C90" s="348"/>
      <c r="D90" s="348"/>
      <c r="E90" s="348"/>
      <c r="F90" s="348"/>
    </row>
    <row r="91" spans="1:6" ht="78.75">
      <c r="A91" s="348"/>
      <c r="B91" s="266" t="s">
        <v>368</v>
      </c>
      <c r="C91" s="348"/>
      <c r="D91" s="348"/>
      <c r="E91" s="348"/>
      <c r="F91" s="348"/>
    </row>
    <row r="92" spans="1:6" ht="47.25">
      <c r="A92" s="348"/>
      <c r="B92" s="266" t="s">
        <v>452</v>
      </c>
      <c r="C92" s="348"/>
      <c r="D92" s="348"/>
      <c r="E92" s="348"/>
      <c r="F92" s="348"/>
    </row>
    <row r="93" spans="1:6" ht="31.5">
      <c r="A93" s="348"/>
      <c r="B93" s="266" t="s">
        <v>364</v>
      </c>
      <c r="C93" s="348"/>
      <c r="D93" s="348"/>
      <c r="E93" s="348"/>
      <c r="F93" s="348"/>
    </row>
    <row r="94" spans="1:6" ht="15.75">
      <c r="A94" s="348"/>
      <c r="B94" s="266" t="s">
        <v>37</v>
      </c>
      <c r="C94" s="348"/>
      <c r="D94" s="348"/>
      <c r="E94" s="348"/>
      <c r="F94" s="348"/>
    </row>
    <row r="95" spans="1:6" ht="15.75">
      <c r="A95" s="348"/>
      <c r="B95" s="266" t="s">
        <v>44</v>
      </c>
      <c r="C95" s="348"/>
      <c r="D95" s="348"/>
      <c r="E95" s="348"/>
      <c r="F95" s="348"/>
    </row>
    <row r="96" spans="1:6" ht="94.5">
      <c r="A96" s="348"/>
      <c r="B96" s="266" t="s">
        <v>365</v>
      </c>
      <c r="C96" s="348"/>
      <c r="D96" s="348"/>
      <c r="E96" s="348"/>
      <c r="F96" s="348"/>
    </row>
    <row r="97" spans="1:6" s="283" customFormat="1" ht="78.75">
      <c r="A97" s="348"/>
      <c r="B97" s="266" t="s">
        <v>366</v>
      </c>
      <c r="C97" s="348"/>
      <c r="D97" s="348"/>
      <c r="E97" s="348"/>
      <c r="F97" s="348"/>
    </row>
    <row r="98" spans="1:6" ht="31.5">
      <c r="A98" s="348"/>
      <c r="B98" s="266" t="s">
        <v>66</v>
      </c>
      <c r="C98" s="348"/>
      <c r="D98" s="348"/>
      <c r="E98" s="348"/>
      <c r="F98" s="348"/>
    </row>
    <row r="99" spans="1:6" ht="31.5">
      <c r="A99" s="348"/>
      <c r="B99" s="266" t="s">
        <v>65</v>
      </c>
      <c r="C99" s="348"/>
      <c r="D99" s="348"/>
      <c r="E99" s="348"/>
      <c r="F99" s="348"/>
    </row>
    <row r="100" spans="1:6" ht="53.25" customHeight="1">
      <c r="A100" s="348"/>
      <c r="B100" s="266" t="s">
        <v>45</v>
      </c>
      <c r="C100" s="348"/>
      <c r="D100" s="348"/>
      <c r="E100" s="348"/>
      <c r="F100" s="348"/>
    </row>
    <row r="101" spans="1:6" ht="15.75">
      <c r="A101" s="276">
        <v>4.3</v>
      </c>
      <c r="B101" s="269" t="s">
        <v>335</v>
      </c>
      <c r="C101" s="285">
        <v>1</v>
      </c>
      <c r="D101" s="286"/>
      <c r="E101" s="264" t="s">
        <v>1</v>
      </c>
      <c r="F101" s="265"/>
    </row>
    <row r="102" spans="1:6" ht="47.25">
      <c r="A102" s="348"/>
      <c r="B102" s="266" t="s">
        <v>70</v>
      </c>
      <c r="C102" s="348"/>
      <c r="D102" s="348"/>
      <c r="E102" s="348"/>
      <c r="F102" s="348"/>
    </row>
    <row r="103" spans="1:6" ht="167.25" customHeight="1">
      <c r="A103" s="348"/>
      <c r="B103" s="266" t="s">
        <v>384</v>
      </c>
      <c r="C103" s="348"/>
      <c r="D103" s="348"/>
      <c r="E103" s="348"/>
      <c r="F103" s="348"/>
    </row>
    <row r="104" spans="1:6" ht="63">
      <c r="A104" s="348"/>
      <c r="B104" s="267" t="s">
        <v>373</v>
      </c>
      <c r="C104" s="348"/>
      <c r="D104" s="348"/>
      <c r="E104" s="348"/>
      <c r="F104" s="348"/>
    </row>
    <row r="105" spans="1:6" ht="78.75">
      <c r="A105" s="348"/>
      <c r="B105" s="266" t="s">
        <v>374</v>
      </c>
      <c r="C105" s="348"/>
      <c r="D105" s="348"/>
      <c r="E105" s="348"/>
      <c r="F105" s="348"/>
    </row>
    <row r="106" spans="1:6" ht="31.5">
      <c r="A106" s="348"/>
      <c r="B106" s="266" t="s">
        <v>375</v>
      </c>
      <c r="C106" s="348"/>
      <c r="D106" s="348"/>
      <c r="E106" s="348"/>
      <c r="F106" s="348"/>
    </row>
    <row r="107" spans="1:6" ht="15.75">
      <c r="A107" s="348"/>
      <c r="B107" s="266" t="s">
        <v>37</v>
      </c>
      <c r="C107" s="348"/>
      <c r="D107" s="348"/>
      <c r="E107" s="348"/>
      <c r="F107" s="348"/>
    </row>
    <row r="108" spans="1:6" ht="15.75">
      <c r="A108" s="348"/>
      <c r="B108" s="266" t="s">
        <v>44</v>
      </c>
      <c r="C108" s="348"/>
      <c r="D108" s="348"/>
      <c r="E108" s="348"/>
      <c r="F108" s="348"/>
    </row>
    <row r="109" spans="1:6" ht="91.5" customHeight="1">
      <c r="A109" s="348"/>
      <c r="B109" s="266" t="s">
        <v>376</v>
      </c>
      <c r="C109" s="348"/>
      <c r="D109" s="348"/>
      <c r="E109" s="348"/>
      <c r="F109" s="348"/>
    </row>
    <row r="110" spans="1:6" ht="27.75" customHeight="1">
      <c r="A110" s="348"/>
      <c r="B110" s="266" t="s">
        <v>377</v>
      </c>
      <c r="C110" s="348"/>
      <c r="D110" s="348"/>
      <c r="E110" s="348"/>
      <c r="F110" s="348"/>
    </row>
    <row r="111" spans="1:6" ht="31.5">
      <c r="A111" s="348"/>
      <c r="B111" s="266" t="s">
        <v>65</v>
      </c>
      <c r="C111" s="348"/>
      <c r="D111" s="348"/>
      <c r="E111" s="348"/>
      <c r="F111" s="348"/>
    </row>
    <row r="112" spans="1:6" ht="31.5">
      <c r="A112" s="348"/>
      <c r="B112" s="266" t="s">
        <v>45</v>
      </c>
      <c r="C112" s="348"/>
      <c r="D112" s="348"/>
      <c r="E112" s="348"/>
      <c r="F112" s="348"/>
    </row>
    <row r="113" spans="1:6" ht="15.75">
      <c r="A113" s="282">
        <v>5</v>
      </c>
      <c r="B113" s="269" t="s">
        <v>26</v>
      </c>
      <c r="C113" s="285">
        <v>1</v>
      </c>
      <c r="D113" s="286"/>
      <c r="E113" s="264" t="s">
        <v>1</v>
      </c>
      <c r="F113" s="265"/>
    </row>
    <row r="114" spans="1:6" ht="141.75">
      <c r="A114" s="348"/>
      <c r="B114" s="266" t="s">
        <v>378</v>
      </c>
      <c r="C114" s="348"/>
      <c r="D114" s="348"/>
      <c r="E114" s="348"/>
      <c r="F114" s="348"/>
    </row>
    <row r="115" spans="1:6" ht="47.25">
      <c r="A115" s="348"/>
      <c r="B115" s="266" t="s">
        <v>71</v>
      </c>
      <c r="C115" s="348"/>
      <c r="D115" s="348"/>
      <c r="E115" s="348"/>
      <c r="F115" s="348"/>
    </row>
    <row r="116" spans="1:6" ht="110.25">
      <c r="A116" s="348"/>
      <c r="B116" s="266" t="s">
        <v>379</v>
      </c>
      <c r="C116" s="348"/>
      <c r="D116" s="348"/>
      <c r="E116" s="348"/>
      <c r="F116" s="348"/>
    </row>
    <row r="117" spans="1:6" ht="157.5">
      <c r="A117" s="348"/>
      <c r="B117" s="266" t="s">
        <v>380</v>
      </c>
      <c r="C117" s="348"/>
      <c r="D117" s="348"/>
      <c r="E117" s="348"/>
      <c r="F117" s="348"/>
    </row>
    <row r="118" spans="1:6" ht="31.5">
      <c r="A118" s="348"/>
      <c r="B118" s="266" t="s">
        <v>375</v>
      </c>
      <c r="C118" s="348"/>
      <c r="D118" s="348"/>
      <c r="E118" s="348"/>
      <c r="F118" s="348"/>
    </row>
    <row r="119" spans="1:6" ht="15.75">
      <c r="A119" s="348"/>
      <c r="B119" s="266" t="s">
        <v>37</v>
      </c>
      <c r="C119" s="348"/>
      <c r="D119" s="348"/>
      <c r="E119" s="348"/>
      <c r="F119" s="348"/>
    </row>
    <row r="120" spans="1:6" ht="15.75">
      <c r="A120" s="348"/>
      <c r="B120" s="266" t="s">
        <v>44</v>
      </c>
      <c r="C120" s="348"/>
      <c r="D120" s="348"/>
      <c r="E120" s="348"/>
      <c r="F120" s="348"/>
    </row>
    <row r="121" spans="1:6" ht="94.5">
      <c r="A121" s="348"/>
      <c r="B121" s="266" t="s">
        <v>381</v>
      </c>
      <c r="C121" s="348"/>
      <c r="D121" s="348"/>
      <c r="E121" s="348"/>
      <c r="F121" s="348"/>
    </row>
    <row r="122" spans="1:6" ht="78.75">
      <c r="A122" s="348"/>
      <c r="B122" s="266" t="s">
        <v>382</v>
      </c>
      <c r="C122" s="348"/>
      <c r="D122" s="348"/>
      <c r="E122" s="348"/>
      <c r="F122" s="348"/>
    </row>
    <row r="123" spans="1:6" ht="47.25">
      <c r="A123" s="348"/>
      <c r="B123" s="266" t="s">
        <v>377</v>
      </c>
      <c r="C123" s="348"/>
      <c r="D123" s="348"/>
      <c r="E123" s="348"/>
      <c r="F123" s="348"/>
    </row>
    <row r="124" spans="1:6" ht="31.5">
      <c r="A124" s="348"/>
      <c r="B124" s="266" t="s">
        <v>65</v>
      </c>
      <c r="C124" s="348"/>
      <c r="D124" s="348"/>
      <c r="E124" s="348"/>
      <c r="F124" s="348"/>
    </row>
    <row r="125" spans="1:6" ht="31.5">
      <c r="A125" s="348"/>
      <c r="B125" s="266" t="s">
        <v>72</v>
      </c>
      <c r="C125" s="348"/>
      <c r="D125" s="348"/>
      <c r="E125" s="348"/>
      <c r="F125" s="348"/>
    </row>
    <row r="126" spans="1:6" ht="47.25">
      <c r="A126" s="348"/>
      <c r="B126" s="287" t="s">
        <v>383</v>
      </c>
      <c r="C126" s="348"/>
      <c r="D126" s="348"/>
      <c r="E126" s="348"/>
      <c r="F126" s="348"/>
    </row>
    <row r="127" spans="1:6" ht="31.5">
      <c r="A127" s="276">
        <v>5.1</v>
      </c>
      <c r="B127" s="269" t="s">
        <v>73</v>
      </c>
      <c r="C127" s="285">
        <v>6</v>
      </c>
      <c r="D127" s="286"/>
      <c r="E127" s="264" t="s">
        <v>1</v>
      </c>
      <c r="F127" s="265"/>
    </row>
    <row r="128" spans="1:6" ht="126">
      <c r="A128" s="264"/>
      <c r="B128" s="266" t="s">
        <v>74</v>
      </c>
      <c r="C128" s="264"/>
      <c r="D128" s="264"/>
      <c r="E128" s="264"/>
      <c r="F128" s="264"/>
    </row>
    <row r="129" spans="1:6" ht="31.5">
      <c r="A129" s="276">
        <v>5.2</v>
      </c>
      <c r="B129" s="269" t="s">
        <v>336</v>
      </c>
      <c r="C129" s="285">
        <v>6</v>
      </c>
      <c r="D129" s="288"/>
      <c r="E129" s="264" t="s">
        <v>1</v>
      </c>
      <c r="F129" s="265"/>
    </row>
    <row r="130" spans="1:6" ht="110.25">
      <c r="A130" s="264"/>
      <c r="B130" s="289" t="s">
        <v>337</v>
      </c>
      <c r="C130" s="264"/>
      <c r="D130" s="264"/>
      <c r="E130" s="264"/>
      <c r="F130" s="264"/>
    </row>
    <row r="131" spans="1:6" ht="15.75">
      <c r="A131" s="282">
        <v>6</v>
      </c>
      <c r="B131" s="269" t="s">
        <v>85</v>
      </c>
      <c r="C131" s="285">
        <v>1</v>
      </c>
      <c r="D131" s="286"/>
      <c r="E131" s="264" t="s">
        <v>1</v>
      </c>
      <c r="F131" s="265"/>
    </row>
    <row r="132" spans="1:6" ht="47.25">
      <c r="A132" s="348"/>
      <c r="B132" s="266" t="s">
        <v>86</v>
      </c>
      <c r="C132" s="348"/>
      <c r="D132" s="348"/>
      <c r="E132" s="348"/>
      <c r="F132" s="348"/>
    </row>
    <row r="133" spans="1:6" ht="141.75">
      <c r="A133" s="348"/>
      <c r="B133" s="266" t="s">
        <v>369</v>
      </c>
      <c r="C133" s="348"/>
      <c r="D133" s="348"/>
      <c r="E133" s="348"/>
      <c r="F133" s="348"/>
    </row>
    <row r="134" spans="1:6" ht="47.25">
      <c r="A134" s="348"/>
      <c r="B134" s="266" t="s">
        <v>87</v>
      </c>
      <c r="C134" s="348"/>
      <c r="D134" s="348"/>
      <c r="E134" s="348"/>
      <c r="F134" s="348"/>
    </row>
    <row r="135" spans="1:6" ht="47.25">
      <c r="A135" s="348"/>
      <c r="B135" s="266" t="s">
        <v>370</v>
      </c>
      <c r="C135" s="348"/>
      <c r="D135" s="348"/>
      <c r="E135" s="348"/>
      <c r="F135" s="348"/>
    </row>
    <row r="136" spans="1:6" ht="31.5">
      <c r="A136" s="348"/>
      <c r="B136" s="266" t="s">
        <v>371</v>
      </c>
      <c r="C136" s="348"/>
      <c r="D136" s="348"/>
      <c r="E136" s="348"/>
      <c r="F136" s="348"/>
    </row>
    <row r="137" spans="1:6" ht="31.5">
      <c r="A137" s="348"/>
      <c r="B137" s="266" t="s">
        <v>88</v>
      </c>
      <c r="C137" s="348"/>
      <c r="D137" s="348"/>
      <c r="E137" s="348"/>
      <c r="F137" s="348"/>
    </row>
    <row r="138" spans="1:6" ht="31.5">
      <c r="A138" s="348"/>
      <c r="B138" s="266" t="s">
        <v>45</v>
      </c>
      <c r="C138" s="348"/>
      <c r="D138" s="348"/>
      <c r="E138" s="348"/>
      <c r="F138" s="348"/>
    </row>
    <row r="139" spans="1:6" ht="15.75">
      <c r="A139" s="268">
        <v>7</v>
      </c>
      <c r="B139" s="277" t="s">
        <v>29</v>
      </c>
      <c r="C139" s="262">
        <v>590</v>
      </c>
      <c r="D139" s="286"/>
      <c r="E139" s="264" t="s">
        <v>7</v>
      </c>
      <c r="F139" s="265"/>
    </row>
    <row r="140" spans="1:6" ht="110.25">
      <c r="A140" s="268"/>
      <c r="B140" s="290" t="s">
        <v>90</v>
      </c>
      <c r="C140" s="291"/>
      <c r="D140" s="292"/>
      <c r="E140" s="293"/>
      <c r="F140" s="294"/>
    </row>
    <row r="141" spans="1:6" ht="15.75">
      <c r="A141" s="272">
        <v>8</v>
      </c>
      <c r="B141" s="259" t="s">
        <v>24</v>
      </c>
      <c r="C141" s="262">
        <v>16</v>
      </c>
      <c r="D141" s="286"/>
      <c r="E141" s="264" t="s">
        <v>7</v>
      </c>
      <c r="F141" s="265"/>
    </row>
    <row r="142" spans="1:6" ht="63">
      <c r="A142" s="272"/>
      <c r="B142" s="266" t="s">
        <v>28</v>
      </c>
      <c r="C142" s="285"/>
      <c r="D142" s="286"/>
      <c r="E142" s="264"/>
      <c r="F142" s="265"/>
    </row>
    <row r="143" spans="1:6" ht="15.75">
      <c r="A143" s="295">
        <v>9</v>
      </c>
      <c r="B143" s="259" t="s">
        <v>32</v>
      </c>
      <c r="C143" s="285">
        <v>28</v>
      </c>
      <c r="D143" s="286"/>
      <c r="E143" s="264" t="s">
        <v>7</v>
      </c>
      <c r="F143" s="265"/>
    </row>
    <row r="144" spans="1:6" ht="157.5">
      <c r="A144" s="258"/>
      <c r="B144" s="266" t="s">
        <v>35</v>
      </c>
      <c r="C144" s="285"/>
      <c r="D144" s="286"/>
      <c r="E144" s="264"/>
      <c r="F144" s="265"/>
    </row>
    <row r="145" spans="1:6" ht="15.75">
      <c r="A145" s="295">
        <v>10</v>
      </c>
      <c r="B145" s="259" t="s">
        <v>33</v>
      </c>
      <c r="C145" s="285">
        <v>1</v>
      </c>
      <c r="D145" s="286"/>
      <c r="E145" s="264" t="s">
        <v>1</v>
      </c>
      <c r="F145" s="265"/>
    </row>
    <row r="146" spans="1:6" ht="47.25">
      <c r="A146" s="258"/>
      <c r="B146" s="266" t="s">
        <v>36</v>
      </c>
      <c r="C146" s="285"/>
      <c r="D146" s="286"/>
      <c r="E146" s="264"/>
      <c r="F146" s="265"/>
    </row>
    <row r="147" spans="1:6" ht="15.75">
      <c r="A147" s="256"/>
      <c r="B147" s="259"/>
      <c r="C147" s="285"/>
      <c r="D147" s="286"/>
      <c r="E147" s="264"/>
      <c r="F147" s="265"/>
    </row>
    <row r="148" spans="1:6" ht="15.75">
      <c r="A148" s="258"/>
      <c r="B148" s="259" t="s">
        <v>440</v>
      </c>
      <c r="C148" s="285"/>
      <c r="D148" s="286"/>
      <c r="E148" s="264"/>
      <c r="F148" s="296"/>
    </row>
    <row r="149" spans="1:6" ht="15.75">
      <c r="A149" s="306"/>
      <c r="B149" s="321"/>
      <c r="C149" s="322"/>
      <c r="D149" s="323"/>
      <c r="E149" s="324"/>
      <c r="F149" s="325"/>
    </row>
    <row r="150" spans="1:6" ht="37.5" customHeight="1">
      <c r="A150" s="329"/>
      <c r="B150" s="330" t="s">
        <v>438</v>
      </c>
      <c r="C150" s="331"/>
      <c r="D150" s="332"/>
      <c r="E150" s="331"/>
      <c r="F150" s="333"/>
    </row>
    <row r="151" spans="1:6" ht="15.75">
      <c r="A151" s="326">
        <v>1</v>
      </c>
      <c r="B151" s="327" t="s">
        <v>386</v>
      </c>
      <c r="C151" s="326"/>
      <c r="D151" s="328"/>
      <c r="E151" s="326"/>
      <c r="F151" s="326"/>
    </row>
    <row r="152" spans="1:6" ht="31.5">
      <c r="A152" s="298">
        <v>1.1</v>
      </c>
      <c r="B152" s="300" t="s">
        <v>439</v>
      </c>
      <c r="C152" s="298">
        <v>5</v>
      </c>
      <c r="D152" s="299"/>
      <c r="E152" s="298" t="s">
        <v>388</v>
      </c>
      <c r="F152" s="298"/>
    </row>
    <row r="153" spans="2:6" ht="110.25">
      <c r="B153" s="297" t="s">
        <v>387</v>
      </c>
      <c r="C153" s="298"/>
      <c r="D153" s="299"/>
      <c r="E153" s="298"/>
      <c r="F153" s="298"/>
    </row>
    <row r="154" spans="1:6" ht="15.75">
      <c r="A154" s="298">
        <v>1.2</v>
      </c>
      <c r="B154" s="300" t="s">
        <v>390</v>
      </c>
      <c r="C154" s="298">
        <v>21</v>
      </c>
      <c r="D154" s="299"/>
      <c r="E154" s="298" t="s">
        <v>391</v>
      </c>
      <c r="F154" s="298"/>
    </row>
    <row r="155" spans="1:6" ht="236.25">
      <c r="A155" s="298"/>
      <c r="B155" s="297" t="s">
        <v>389</v>
      </c>
      <c r="C155" s="298"/>
      <c r="D155" s="299"/>
      <c r="E155" s="298"/>
      <c r="F155" s="298"/>
    </row>
    <row r="156" spans="1:6" ht="15.75">
      <c r="A156" s="298">
        <v>2</v>
      </c>
      <c r="B156" s="300" t="s">
        <v>392</v>
      </c>
      <c r="C156" s="298"/>
      <c r="D156" s="299"/>
      <c r="E156" s="298"/>
      <c r="F156" s="298"/>
    </row>
    <row r="157" spans="1:6" ht="15.75">
      <c r="A157" s="298">
        <v>2.1</v>
      </c>
      <c r="B157" s="301" t="s">
        <v>394</v>
      </c>
      <c r="C157" s="298">
        <v>60</v>
      </c>
      <c r="D157" s="299"/>
      <c r="E157" s="298" t="s">
        <v>391</v>
      </c>
      <c r="F157" s="298"/>
    </row>
    <row r="158" spans="1:6" ht="126">
      <c r="A158" s="298"/>
      <c r="B158" s="297" t="s">
        <v>393</v>
      </c>
      <c r="C158" s="298"/>
      <c r="D158" s="299"/>
      <c r="E158" s="298"/>
      <c r="F158" s="298"/>
    </row>
    <row r="159" spans="1:6" ht="15.75">
      <c r="A159" s="298">
        <v>2.2</v>
      </c>
      <c r="B159" s="301" t="s">
        <v>396</v>
      </c>
      <c r="C159" s="298">
        <v>10</v>
      </c>
      <c r="D159" s="299"/>
      <c r="E159" s="298" t="s">
        <v>391</v>
      </c>
      <c r="F159" s="298"/>
    </row>
    <row r="160" spans="1:6" ht="126">
      <c r="A160" s="298"/>
      <c r="B160" s="297" t="s">
        <v>395</v>
      </c>
      <c r="C160" s="298"/>
      <c r="D160" s="299"/>
      <c r="E160" s="298"/>
      <c r="F160" s="298"/>
    </row>
    <row r="161" spans="1:6" ht="15.75">
      <c r="A161" s="298">
        <v>3</v>
      </c>
      <c r="B161" s="300" t="s">
        <v>397</v>
      </c>
      <c r="C161" s="298"/>
      <c r="D161" s="299"/>
      <c r="E161" s="298"/>
      <c r="F161" s="298"/>
    </row>
    <row r="162" spans="1:6" ht="126">
      <c r="A162" s="298">
        <v>3.1</v>
      </c>
      <c r="B162" s="297" t="s">
        <v>420</v>
      </c>
      <c r="C162" s="298"/>
      <c r="D162" s="299"/>
      <c r="E162" s="298"/>
      <c r="F162" s="298"/>
    </row>
    <row r="163" spans="1:6" ht="126">
      <c r="A163" s="298"/>
      <c r="B163" s="297" t="s">
        <v>421</v>
      </c>
      <c r="C163" s="298"/>
      <c r="D163" s="299"/>
      <c r="E163" s="298"/>
      <c r="F163" s="298"/>
    </row>
    <row r="164" spans="1:6" ht="15.75">
      <c r="A164" s="298" t="s">
        <v>398</v>
      </c>
      <c r="B164" s="301" t="s">
        <v>399</v>
      </c>
      <c r="C164" s="298">
        <v>174</v>
      </c>
      <c r="D164" s="299"/>
      <c r="E164" s="298" t="s">
        <v>391</v>
      </c>
      <c r="F164" s="298"/>
    </row>
    <row r="165" spans="1:6" ht="15.75">
      <c r="A165" s="298" t="s">
        <v>400</v>
      </c>
      <c r="B165" s="301" t="s">
        <v>401</v>
      </c>
      <c r="C165" s="298">
        <v>18</v>
      </c>
      <c r="D165" s="299"/>
      <c r="E165" s="298" t="s">
        <v>391</v>
      </c>
      <c r="F165" s="298"/>
    </row>
    <row r="166" spans="1:6" ht="15.75">
      <c r="A166" s="298"/>
      <c r="B166" s="301"/>
      <c r="C166" s="298"/>
      <c r="D166" s="299"/>
      <c r="E166" s="298"/>
      <c r="F166" s="298"/>
    </row>
    <row r="167" spans="1:6" ht="15.75">
      <c r="A167" s="298">
        <v>3.2</v>
      </c>
      <c r="B167" s="300" t="s">
        <v>402</v>
      </c>
      <c r="C167" s="298">
        <v>20</v>
      </c>
      <c r="D167" s="299"/>
      <c r="E167" s="298" t="s">
        <v>391</v>
      </c>
      <c r="F167" s="298"/>
    </row>
    <row r="168" spans="1:6" ht="173.25">
      <c r="A168" s="298"/>
      <c r="B168" s="297" t="s">
        <v>422</v>
      </c>
      <c r="C168" s="298"/>
      <c r="D168" s="299"/>
      <c r="E168" s="298"/>
      <c r="F168" s="298"/>
    </row>
    <row r="169" spans="1:6" ht="15.75">
      <c r="A169" s="298"/>
      <c r="B169" s="301"/>
      <c r="C169" s="298"/>
      <c r="D169" s="299"/>
      <c r="E169" s="298"/>
      <c r="F169" s="298"/>
    </row>
    <row r="170" spans="1:6" ht="204.75">
      <c r="A170" s="298">
        <v>3.3</v>
      </c>
      <c r="B170" s="302" t="s">
        <v>423</v>
      </c>
      <c r="C170" s="298"/>
      <c r="D170" s="299"/>
      <c r="E170" s="298"/>
      <c r="F170" s="298"/>
    </row>
    <row r="171" spans="1:6" ht="15.75">
      <c r="A171" s="298"/>
      <c r="B171" s="301" t="s">
        <v>390</v>
      </c>
      <c r="C171" s="298">
        <v>14</v>
      </c>
      <c r="D171" s="299"/>
      <c r="E171" s="298" t="s">
        <v>391</v>
      </c>
      <c r="F171" s="298"/>
    </row>
    <row r="172" spans="1:6" ht="15.75">
      <c r="A172" s="298"/>
      <c r="B172" s="301"/>
      <c r="C172" s="298"/>
      <c r="D172" s="299"/>
      <c r="E172" s="298"/>
      <c r="F172" s="298"/>
    </row>
    <row r="173" spans="1:6" ht="15.75">
      <c r="A173" s="298">
        <v>4</v>
      </c>
      <c r="B173" s="300" t="s">
        <v>403</v>
      </c>
      <c r="C173" s="298"/>
      <c r="D173" s="299"/>
      <c r="E173" s="298"/>
      <c r="F173" s="298"/>
    </row>
    <row r="174" spans="1:6" ht="283.5">
      <c r="A174" s="298">
        <v>4.1</v>
      </c>
      <c r="B174" s="303" t="s">
        <v>404</v>
      </c>
      <c r="C174" s="298"/>
      <c r="D174" s="299"/>
      <c r="E174" s="298"/>
      <c r="F174" s="298"/>
    </row>
    <row r="175" spans="1:6" ht="15.75">
      <c r="A175" s="298"/>
      <c r="B175" s="301" t="s">
        <v>405</v>
      </c>
      <c r="C175" s="298">
        <v>9</v>
      </c>
      <c r="D175" s="299"/>
      <c r="E175" s="298" t="s">
        <v>391</v>
      </c>
      <c r="F175" s="298"/>
    </row>
    <row r="176" spans="1:6" ht="15.75">
      <c r="A176" s="298"/>
      <c r="B176" s="297"/>
      <c r="C176" s="298"/>
      <c r="D176" s="299"/>
      <c r="E176" s="298"/>
      <c r="F176" s="298"/>
    </row>
    <row r="177" spans="1:6" ht="15.75">
      <c r="A177" s="298">
        <v>5</v>
      </c>
      <c r="B177" s="300" t="s">
        <v>406</v>
      </c>
      <c r="C177" s="298"/>
      <c r="D177" s="299"/>
      <c r="E177" s="298"/>
      <c r="F177" s="298"/>
    </row>
    <row r="178" spans="1:6" ht="157.5">
      <c r="A178" s="298">
        <v>5.1</v>
      </c>
      <c r="B178" s="302" t="s">
        <v>424</v>
      </c>
      <c r="C178" s="298"/>
      <c r="D178" s="299"/>
      <c r="E178" s="298"/>
      <c r="F178" s="298"/>
    </row>
    <row r="179" spans="1:6" ht="15.75">
      <c r="A179" s="298"/>
      <c r="B179" s="301" t="s">
        <v>407</v>
      </c>
      <c r="C179" s="298">
        <v>13</v>
      </c>
      <c r="D179" s="299"/>
      <c r="E179" s="298" t="s">
        <v>391</v>
      </c>
      <c r="F179" s="298"/>
    </row>
    <row r="180" spans="1:6" ht="15.75">
      <c r="A180" s="298"/>
      <c r="B180" s="297"/>
      <c r="C180" s="298"/>
      <c r="D180" s="299"/>
      <c r="E180" s="298"/>
      <c r="F180" s="298"/>
    </row>
    <row r="181" spans="1:6" ht="15.75">
      <c r="A181" s="298">
        <v>6</v>
      </c>
      <c r="B181" s="300" t="s">
        <v>408</v>
      </c>
      <c r="C181" s="298"/>
      <c r="D181" s="299"/>
      <c r="E181" s="298"/>
      <c r="F181" s="298"/>
    </row>
    <row r="182" spans="1:6" ht="157.5">
      <c r="A182" s="298">
        <v>6.1</v>
      </c>
      <c r="B182" s="297" t="s">
        <v>425</v>
      </c>
      <c r="C182" s="298"/>
      <c r="D182" s="299"/>
      <c r="E182" s="298"/>
      <c r="F182" s="298"/>
    </row>
    <row r="183" spans="1:6" ht="15.75">
      <c r="A183" s="298"/>
      <c r="B183" s="301" t="s">
        <v>409</v>
      </c>
      <c r="C183" s="298">
        <v>2</v>
      </c>
      <c r="D183" s="299"/>
      <c r="E183" s="298" t="s">
        <v>391</v>
      </c>
      <c r="F183" s="298"/>
    </row>
    <row r="184" spans="1:6" ht="15.75">
      <c r="A184" s="298"/>
      <c r="B184" s="297"/>
      <c r="C184" s="298"/>
      <c r="D184" s="299"/>
      <c r="E184" s="298"/>
      <c r="F184" s="298"/>
    </row>
    <row r="185" spans="1:6" ht="15.75">
      <c r="A185" s="298">
        <v>7</v>
      </c>
      <c r="B185" s="304" t="s">
        <v>410</v>
      </c>
      <c r="C185" s="298"/>
      <c r="D185" s="299"/>
      <c r="E185" s="298"/>
      <c r="F185" s="298"/>
    </row>
    <row r="186" spans="1:6" ht="110.25">
      <c r="A186" s="298">
        <v>7.1</v>
      </c>
      <c r="B186" s="305" t="s">
        <v>411</v>
      </c>
      <c r="C186" s="298">
        <v>25</v>
      </c>
      <c r="D186" s="299"/>
      <c r="E186" s="298" t="s">
        <v>388</v>
      </c>
      <c r="F186" s="298"/>
    </row>
    <row r="187" spans="1:6" ht="15.75">
      <c r="A187" s="298"/>
      <c r="B187" s="297"/>
      <c r="C187" s="298"/>
      <c r="D187" s="299"/>
      <c r="E187" s="298"/>
      <c r="F187" s="298"/>
    </row>
    <row r="188" spans="1:6" ht="15.75">
      <c r="A188" s="298">
        <v>8</v>
      </c>
      <c r="B188" s="300" t="s">
        <v>412</v>
      </c>
      <c r="C188" s="298"/>
      <c r="D188" s="299"/>
      <c r="E188" s="298"/>
      <c r="F188" s="298"/>
    </row>
    <row r="189" spans="1:6" ht="15.75">
      <c r="A189" s="298"/>
      <c r="B189" s="297"/>
      <c r="C189" s="298"/>
      <c r="D189" s="299"/>
      <c r="E189" s="298"/>
      <c r="F189" s="298"/>
    </row>
    <row r="190" spans="1:6" ht="141.75">
      <c r="A190" s="298">
        <v>8.1</v>
      </c>
      <c r="B190" s="297" t="s">
        <v>426</v>
      </c>
      <c r="C190" s="298">
        <v>55</v>
      </c>
      <c r="D190" s="299"/>
      <c r="E190" s="298" t="s">
        <v>391</v>
      </c>
      <c r="F190" s="298"/>
    </row>
    <row r="191" spans="1:6" ht="15.75">
      <c r="A191" s="298"/>
      <c r="B191" s="297"/>
      <c r="C191" s="298"/>
      <c r="D191" s="299"/>
      <c r="E191" s="298"/>
      <c r="F191" s="298"/>
    </row>
    <row r="192" spans="1:6" ht="110.25">
      <c r="A192" s="298">
        <v>8.2</v>
      </c>
      <c r="B192" s="297" t="s">
        <v>427</v>
      </c>
      <c r="C192" s="298">
        <v>2</v>
      </c>
      <c r="D192" s="299"/>
      <c r="E192" s="298" t="s">
        <v>413</v>
      </c>
      <c r="F192" s="298"/>
    </row>
    <row r="193" spans="1:6" ht="15.75">
      <c r="A193" s="298"/>
      <c r="B193" s="297"/>
      <c r="C193" s="298"/>
      <c r="D193" s="299"/>
      <c r="E193" s="298"/>
      <c r="F193" s="298"/>
    </row>
    <row r="194" spans="1:6" ht="110.25">
      <c r="A194" s="298">
        <v>8.3</v>
      </c>
      <c r="B194" s="297" t="s">
        <v>428</v>
      </c>
      <c r="C194" s="298">
        <v>6</v>
      </c>
      <c r="D194" s="299"/>
      <c r="E194" s="298" t="s">
        <v>413</v>
      </c>
      <c r="F194" s="298"/>
    </row>
    <row r="195" spans="1:6" ht="15.75">
      <c r="A195" s="298"/>
      <c r="B195" s="297"/>
      <c r="C195" s="298"/>
      <c r="D195" s="299"/>
      <c r="E195" s="298"/>
      <c r="F195" s="298"/>
    </row>
    <row r="196" spans="1:6" ht="78.75">
      <c r="A196" s="298">
        <v>8.4</v>
      </c>
      <c r="B196" s="297" t="s">
        <v>429</v>
      </c>
      <c r="C196" s="298">
        <v>4</v>
      </c>
      <c r="D196" s="299"/>
      <c r="E196" s="298" t="s">
        <v>413</v>
      </c>
      <c r="F196" s="298"/>
    </row>
    <row r="197" spans="1:6" ht="15.75">
      <c r="A197" s="298"/>
      <c r="B197" s="297"/>
      <c r="C197" s="298"/>
      <c r="D197" s="299"/>
      <c r="E197" s="298"/>
      <c r="F197" s="298"/>
    </row>
    <row r="198" spans="1:6" ht="78.75">
      <c r="A198" s="298">
        <v>8.5</v>
      </c>
      <c r="B198" s="297" t="s">
        <v>430</v>
      </c>
      <c r="C198" s="298">
        <v>2</v>
      </c>
      <c r="D198" s="299"/>
      <c r="E198" s="298" t="s">
        <v>413</v>
      </c>
      <c r="F198" s="298"/>
    </row>
    <row r="199" spans="1:6" ht="15.75">
      <c r="A199" s="298"/>
      <c r="B199" s="297"/>
      <c r="C199" s="298"/>
      <c r="D199" s="299"/>
      <c r="E199" s="298"/>
      <c r="F199" s="298"/>
    </row>
    <row r="200" spans="1:6" ht="94.5">
      <c r="A200" s="298">
        <v>8.6</v>
      </c>
      <c r="B200" s="297" t="s">
        <v>431</v>
      </c>
      <c r="C200" s="298">
        <v>2</v>
      </c>
      <c r="D200" s="299"/>
      <c r="E200" s="298" t="s">
        <v>391</v>
      </c>
      <c r="F200" s="298"/>
    </row>
    <row r="201" spans="1:6" ht="15.75">
      <c r="A201" s="298"/>
      <c r="B201" s="297"/>
      <c r="C201" s="298"/>
      <c r="D201" s="299"/>
      <c r="E201" s="298"/>
      <c r="F201" s="298"/>
    </row>
    <row r="202" spans="1:6" ht="299.25">
      <c r="A202" s="298">
        <v>8.7</v>
      </c>
      <c r="B202" s="297" t="s">
        <v>432</v>
      </c>
      <c r="C202" s="298">
        <v>3</v>
      </c>
      <c r="D202" s="299"/>
      <c r="E202" s="298" t="s">
        <v>413</v>
      </c>
      <c r="F202" s="298"/>
    </row>
    <row r="203" spans="1:6" ht="15.75">
      <c r="A203" s="298"/>
      <c r="B203" s="297"/>
      <c r="C203" s="298"/>
      <c r="D203" s="299"/>
      <c r="E203" s="298"/>
      <c r="F203" s="298"/>
    </row>
    <row r="204" spans="1:6" ht="78.75">
      <c r="A204" s="298">
        <v>8.8</v>
      </c>
      <c r="B204" s="297" t="s">
        <v>433</v>
      </c>
      <c r="C204" s="298">
        <v>2</v>
      </c>
      <c r="D204" s="299"/>
      <c r="E204" s="298" t="s">
        <v>413</v>
      </c>
      <c r="F204" s="298"/>
    </row>
    <row r="205" spans="1:6" ht="15.75">
      <c r="A205" s="298"/>
      <c r="B205" s="297"/>
      <c r="C205" s="298"/>
      <c r="D205" s="299"/>
      <c r="E205" s="298"/>
      <c r="F205" s="298"/>
    </row>
    <row r="206" spans="1:6" ht="15.75">
      <c r="A206" s="298">
        <v>9</v>
      </c>
      <c r="B206" s="300" t="s">
        <v>414</v>
      </c>
      <c r="C206" s="298"/>
      <c r="D206" s="299"/>
      <c r="E206" s="298"/>
      <c r="F206" s="298"/>
    </row>
    <row r="207" spans="1:6" ht="15.75">
      <c r="A207" s="298"/>
      <c r="B207" s="297"/>
      <c r="C207" s="298"/>
      <c r="D207" s="299"/>
      <c r="E207" s="298"/>
      <c r="F207" s="298"/>
    </row>
    <row r="208" spans="1:6" ht="126">
      <c r="A208" s="298">
        <v>9.1</v>
      </c>
      <c r="B208" s="297" t="s">
        <v>434</v>
      </c>
      <c r="C208" s="298">
        <v>10</v>
      </c>
      <c r="D208" s="299"/>
      <c r="E208" s="298" t="s">
        <v>415</v>
      </c>
      <c r="F208" s="298"/>
    </row>
    <row r="209" spans="1:6" ht="15.75">
      <c r="A209" s="298"/>
      <c r="B209" s="297"/>
      <c r="C209" s="298"/>
      <c r="D209" s="299"/>
      <c r="E209" s="298"/>
      <c r="F209" s="298"/>
    </row>
    <row r="210" spans="1:6" ht="94.5">
      <c r="A210" s="298">
        <v>9.2</v>
      </c>
      <c r="B210" s="297" t="s">
        <v>435</v>
      </c>
      <c r="C210" s="298">
        <v>2</v>
      </c>
      <c r="D210" s="299"/>
      <c r="E210" s="298" t="s">
        <v>413</v>
      </c>
      <c r="F210" s="298"/>
    </row>
    <row r="211" spans="1:6" ht="15.75">
      <c r="A211" s="298"/>
      <c r="B211" s="297"/>
      <c r="C211" s="298"/>
      <c r="D211" s="299"/>
      <c r="E211" s="298"/>
      <c r="F211" s="298"/>
    </row>
    <row r="212" spans="1:6" ht="78.75">
      <c r="A212" s="298">
        <v>9.3</v>
      </c>
      <c r="B212" s="297" t="s">
        <v>436</v>
      </c>
      <c r="C212" s="298">
        <v>2</v>
      </c>
      <c r="D212" s="299"/>
      <c r="E212" s="298" t="s">
        <v>413</v>
      </c>
      <c r="F212" s="298"/>
    </row>
    <row r="213" spans="1:6" ht="15.75">
      <c r="A213" s="263"/>
      <c r="B213" s="263"/>
      <c r="C213" s="260"/>
      <c r="D213" s="261"/>
      <c r="E213" s="260"/>
      <c r="F213" s="261"/>
    </row>
    <row r="214" spans="1:6" ht="16.5">
      <c r="A214" s="307"/>
      <c r="B214" s="308" t="s">
        <v>447</v>
      </c>
      <c r="C214" s="309"/>
      <c r="D214" s="310"/>
      <c r="E214" s="1" t="s">
        <v>441</v>
      </c>
      <c r="F214" s="311"/>
    </row>
    <row r="215" spans="1:6" ht="16.5">
      <c r="A215" s="307"/>
      <c r="B215" s="312"/>
      <c r="C215" s="313"/>
      <c r="D215" s="314"/>
      <c r="E215" s="1"/>
      <c r="F215" s="310"/>
    </row>
    <row r="216" spans="1:6" ht="16.5">
      <c r="A216" s="307"/>
      <c r="B216" s="312" t="s">
        <v>442</v>
      </c>
      <c r="C216" s="313"/>
      <c r="D216" s="314"/>
      <c r="E216" s="1" t="s">
        <v>441</v>
      </c>
      <c r="F216" s="310"/>
    </row>
    <row r="217" spans="1:6" ht="16.5">
      <c r="A217" s="307"/>
      <c r="B217" s="308"/>
      <c r="C217" s="313"/>
      <c r="D217" s="314"/>
      <c r="E217" s="1"/>
      <c r="F217" s="311"/>
    </row>
    <row r="218" spans="1:6" ht="16.5">
      <c r="A218" s="315"/>
      <c r="B218" s="308" t="s">
        <v>443</v>
      </c>
      <c r="C218" s="313"/>
      <c r="D218" s="314"/>
      <c r="E218" s="1" t="s">
        <v>441</v>
      </c>
      <c r="F218" s="311"/>
    </row>
    <row r="219" spans="1:6" ht="16.5">
      <c r="A219" s="315"/>
      <c r="B219" s="308"/>
      <c r="C219" s="313"/>
      <c r="D219" s="314"/>
      <c r="E219" s="1"/>
      <c r="F219" s="311"/>
    </row>
    <row r="220" spans="1:6" ht="65.25" customHeight="1">
      <c r="A220" s="315"/>
      <c r="B220" s="361" t="s">
        <v>444</v>
      </c>
      <c r="C220" s="362"/>
      <c r="D220" s="363"/>
      <c r="E220" s="1" t="s">
        <v>441</v>
      </c>
      <c r="F220" s="311"/>
    </row>
    <row r="221" spans="1:6" ht="16.5">
      <c r="A221" s="316"/>
      <c r="B221" s="317"/>
      <c r="C221" s="318"/>
      <c r="D221" s="316"/>
      <c r="E221" s="318"/>
      <c r="F221" s="316"/>
    </row>
    <row r="222" spans="1:6" ht="16.5">
      <c r="A222" s="316"/>
      <c r="B222" s="317" t="s">
        <v>445</v>
      </c>
      <c r="C222" s="318"/>
      <c r="D222" s="316"/>
      <c r="E222" s="318"/>
      <c r="F222" s="316"/>
    </row>
    <row r="223" spans="1:6" ht="16.5">
      <c r="A223" s="316"/>
      <c r="B223" s="317"/>
      <c r="C223" s="318"/>
      <c r="D223" s="316"/>
      <c r="E223" s="318"/>
      <c r="F223" s="316"/>
    </row>
    <row r="224" spans="1:6" ht="16.5">
      <c r="A224" s="316"/>
      <c r="B224" s="317"/>
      <c r="C224" s="318"/>
      <c r="D224" s="316"/>
      <c r="E224" s="318"/>
      <c r="F224" s="316"/>
    </row>
    <row r="225" spans="1:6" ht="16.5">
      <c r="A225" s="319"/>
      <c r="B225" s="320" t="s">
        <v>446</v>
      </c>
      <c r="C225" s="316"/>
      <c r="D225" s="316"/>
      <c r="E225" s="318"/>
      <c r="F225" s="316"/>
    </row>
  </sheetData>
  <sheetProtection/>
  <mergeCells count="70">
    <mergeCell ref="B220:D220"/>
    <mergeCell ref="E66:E69"/>
    <mergeCell ref="E114:E126"/>
    <mergeCell ref="F114:F126"/>
    <mergeCell ref="E89:E100"/>
    <mergeCell ref="F89:F100"/>
    <mergeCell ref="C76:C87"/>
    <mergeCell ref="F132:F138"/>
    <mergeCell ref="C102:C112"/>
    <mergeCell ref="D102:D112"/>
    <mergeCell ref="F66:F69"/>
    <mergeCell ref="D89:D100"/>
    <mergeCell ref="D66:D69"/>
    <mergeCell ref="C66:C69"/>
    <mergeCell ref="A19:A22"/>
    <mergeCell ref="C19:C22"/>
    <mergeCell ref="D19:D22"/>
    <mergeCell ref="E19:E22"/>
    <mergeCell ref="F19:F22"/>
    <mergeCell ref="A36:A38"/>
    <mergeCell ref="C36:C38"/>
    <mergeCell ref="D36:D38"/>
    <mergeCell ref="F61:F64"/>
    <mergeCell ref="F25:F26"/>
    <mergeCell ref="E25:E26"/>
    <mergeCell ref="D25:D26"/>
    <mergeCell ref="E61:E64"/>
    <mergeCell ref="F36:F38"/>
    <mergeCell ref="D31:D33"/>
    <mergeCell ref="F42:F49"/>
    <mergeCell ref="D61:D64"/>
    <mergeCell ref="A114:A126"/>
    <mergeCell ref="C114:C126"/>
    <mergeCell ref="D114:D126"/>
    <mergeCell ref="F76:F87"/>
    <mergeCell ref="E76:E87"/>
    <mergeCell ref="E102:E112"/>
    <mergeCell ref="F102:F112"/>
    <mergeCell ref="D76:D87"/>
    <mergeCell ref="A76:A87"/>
    <mergeCell ref="A102:A112"/>
    <mergeCell ref="E36:E38"/>
    <mergeCell ref="C61:C64"/>
    <mergeCell ref="A89:A100"/>
    <mergeCell ref="C89:C100"/>
    <mergeCell ref="A61:A64"/>
    <mergeCell ref="A66:A69"/>
    <mergeCell ref="E42:E49"/>
    <mergeCell ref="C42:C49"/>
    <mergeCell ref="D42:D49"/>
    <mergeCell ref="A1:F1"/>
    <mergeCell ref="A2:F2"/>
    <mergeCell ref="A3:F3"/>
    <mergeCell ref="A10:A17"/>
    <mergeCell ref="C10:C17"/>
    <mergeCell ref="C25:C26"/>
    <mergeCell ref="A25:A26"/>
    <mergeCell ref="D10:D17"/>
    <mergeCell ref="E10:E17"/>
    <mergeCell ref="F10:F17"/>
    <mergeCell ref="A31:A33"/>
    <mergeCell ref="C31:C33"/>
    <mergeCell ref="A5:F5"/>
    <mergeCell ref="A132:A138"/>
    <mergeCell ref="C132:C138"/>
    <mergeCell ref="D132:D138"/>
    <mergeCell ref="E132:E138"/>
    <mergeCell ref="E31:E33"/>
    <mergeCell ref="F31:F33"/>
    <mergeCell ref="A42:A49"/>
  </mergeCells>
  <printOptions/>
  <pageMargins left="0.37" right="0.32" top="0.5" bottom="0.45" header="0.35" footer="0.25"/>
  <pageSetup fitToHeight="0" horizontalDpi="600" verticalDpi="600" orientation="portrait" paperSize="9" scale="95" r:id="rId1"/>
  <headerFooter alignWithMargins="0">
    <oddFooter>&amp;R&amp;"Book Antiqua,Regular"&amp;P/&amp;N</oddFooter>
  </headerFooter>
  <rowBreaks count="9" manualBreakCount="9">
    <brk id="17" max="255" man="1"/>
    <brk id="31" max="5" man="1"/>
    <brk id="40" max="255" man="1"/>
    <brk id="49" max="255" man="1"/>
    <brk id="56" max="5" man="1"/>
    <brk id="64" max="255" man="1"/>
    <brk id="71" max="255" man="1"/>
    <brk id="95" max="5" man="1"/>
    <brk id="11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Vinod Konda</cp:lastModifiedBy>
  <cp:lastPrinted>2018-07-30T13:37:10Z</cp:lastPrinted>
  <dcterms:created xsi:type="dcterms:W3CDTF">1996-10-14T23:33:28Z</dcterms:created>
  <dcterms:modified xsi:type="dcterms:W3CDTF">2018-10-10T14:05:17Z</dcterms:modified>
  <cp:category/>
  <cp:version/>
  <cp:contentType/>
  <cp:contentStatus/>
</cp:coreProperties>
</file>